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21. Retención a trabajadores y demas\"/>
    </mc:Choice>
  </mc:AlternateContent>
  <bookViews>
    <workbookView xWindow="0" yWindow="0" windowWidth="15360" windowHeight="6912" activeTab="3"/>
  </bookViews>
  <sheets>
    <sheet name="Retención a trabajadores" sheetId="1" r:id="rId1"/>
    <sheet name="retencion" sheetId="4" state="hidden" r:id="rId2"/>
    <sheet name="ejercicio" sheetId="5" state="hidden" r:id="rId3"/>
    <sheet name="Retención a Asalariados" sheetId="2" r:id="rId4"/>
    <sheet name="observaciones" sheetId="6" r:id="rId5"/>
  </sheets>
  <definedNames>
    <definedName name="uvtActual">'Retención a Asalariados'!$K$3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2" l="1"/>
  <c r="J104" i="2"/>
  <c r="H77" i="2"/>
  <c r="J50" i="2"/>
  <c r="J102" i="2" l="1"/>
  <c r="J94" i="2"/>
  <c r="J93" i="2"/>
  <c r="J91" i="2"/>
  <c r="H26" i="6"/>
  <c r="F2" i="6"/>
  <c r="C37" i="6"/>
  <c r="B29" i="6"/>
  <c r="J15" i="6"/>
  <c r="I14" i="6"/>
  <c r="H22" i="6"/>
  <c r="F10" i="6"/>
  <c r="D20" i="6"/>
  <c r="D19" i="6"/>
  <c r="D18" i="6"/>
  <c r="D17" i="6"/>
  <c r="D16" i="6"/>
  <c r="E21" i="6"/>
  <c r="E17" i="6"/>
  <c r="E18" i="6"/>
  <c r="E19" i="6"/>
  <c r="E20" i="6"/>
  <c r="E16" i="6"/>
  <c r="F3" i="6"/>
  <c r="K29" i="2"/>
  <c r="J38" i="2"/>
  <c r="J26" i="2"/>
  <c r="J42" i="2"/>
  <c r="J46" i="2"/>
  <c r="K42" i="2"/>
  <c r="K38" i="2"/>
  <c r="K34" i="2"/>
  <c r="K33" i="2"/>
  <c r="I17" i="2"/>
  <c r="J51" i="2" s="1"/>
  <c r="H74" i="2" l="1"/>
  <c r="I20" i="2"/>
  <c r="C3" i="5"/>
  <c r="C1" i="5"/>
  <c r="E1" i="5" s="1"/>
  <c r="B4" i="5"/>
  <c r="C2" i="5" s="1"/>
  <c r="M8" i="4"/>
  <c r="B6" i="4"/>
  <c r="C6" i="4"/>
  <c r="D6" i="4"/>
  <c r="E6" i="4"/>
  <c r="F6" i="4"/>
  <c r="G6" i="4"/>
  <c r="H6" i="4"/>
  <c r="I6" i="4"/>
  <c r="J6" i="4"/>
  <c r="K6" i="4"/>
  <c r="L6" i="4"/>
  <c r="A6" i="4"/>
  <c r="M4" i="4"/>
  <c r="H75" i="2" l="1"/>
  <c r="H76" i="2" s="1"/>
  <c r="H78" i="2" s="1"/>
  <c r="J97" i="2"/>
  <c r="J101" i="2" s="1"/>
  <c r="J52" i="2"/>
  <c r="I21" i="2"/>
  <c r="J56" i="2" l="1"/>
  <c r="J54" i="2"/>
  <c r="H80" i="2" s="1"/>
  <c r="J58" i="2" l="1"/>
  <c r="J65" i="2" s="1"/>
  <c r="J67" i="2" s="1"/>
</calcChain>
</file>

<file path=xl/comments1.xml><?xml version="1.0" encoding="utf-8"?>
<comments xmlns="http://schemas.openxmlformats.org/spreadsheetml/2006/main">
  <authors>
    <author>ConTabilizalo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ConTabilizalo:</t>
        </r>
        <r>
          <rPr>
            <sz val="9"/>
            <color indexed="81"/>
            <rFont val="Tahoma"/>
            <family val="2"/>
          </rPr>
          <t xml:space="preserve">
1. No puede haber devengado mas de 310 UVT mensuales (310 x 28.279 = 8.766.000)
2. No pueden descontar mas de 41 UVT mensualmente por este concepto (41 x 28.279 = 1.159.000)
3. La parte que exceda se considera ingreso gravado.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ConTabilizalo:</t>
        </r>
        <r>
          <rPr>
            <sz val="9"/>
            <color indexed="81"/>
            <rFont val="Tahoma"/>
            <family val="2"/>
          </rPr>
          <t xml:space="preserve">
La sumatoria de las rentas excentas no puede superar las 240 UVT del año 2015</t>
        </r>
      </text>
    </comment>
  </commentList>
</comments>
</file>

<file path=xl/sharedStrings.xml><?xml version="1.0" encoding="utf-8"?>
<sst xmlns="http://schemas.openxmlformats.org/spreadsheetml/2006/main" count="206" uniqueCount="166">
  <si>
    <t>► La retención es un mecanismo de recaudo anticipado de impuestos.</t>
  </si>
  <si>
    <t>Empleados</t>
  </si>
  <si>
    <t>Trabajadores por cuenta propia</t>
  </si>
  <si>
    <t>Otros</t>
  </si>
  <si>
    <t>Sin relación laboral</t>
  </si>
  <si>
    <t>Asalariado</t>
  </si>
  <si>
    <t>Independiente</t>
  </si>
  <si>
    <t>Deben presentar carta con información del año anterior</t>
  </si>
  <si>
    <t>Tarifas normales art 392</t>
  </si>
  <si>
    <t>RETENCIÓN A "EMPLEADOS"</t>
  </si>
  <si>
    <t>Retención a asalariados</t>
  </si>
  <si>
    <t>Procedimiento 1</t>
  </si>
  <si>
    <t>Total pagos laborales del mes</t>
  </si>
  <si>
    <t>Salario</t>
  </si>
  <si>
    <t>Aux. de Transporte</t>
  </si>
  <si>
    <t>Horas Extras</t>
  </si>
  <si>
    <t>Recargos nocturnos</t>
  </si>
  <si>
    <t>Recargos Dominicales</t>
  </si>
  <si>
    <t>Comisiones</t>
  </si>
  <si>
    <t>Bonificaciones</t>
  </si>
  <si>
    <t>Incapacidades</t>
  </si>
  <si>
    <t>Vacaciones</t>
  </si>
  <si>
    <t>Primas extralegales</t>
  </si>
  <si>
    <t>Otros pagos en dinero o en especie, Directos o indirectos</t>
  </si>
  <si>
    <t>TOTAL INGRESO DEL MES</t>
  </si>
  <si>
    <t>MENOS</t>
  </si>
  <si>
    <t>INGRESOS NO GRAVADOS</t>
  </si>
  <si>
    <t>Viaticos ocasionales la parte de manutención y alojamiento</t>
  </si>
  <si>
    <t>Salario en especie por concepto de alimentación</t>
  </si>
  <si>
    <t xml:space="preserve"> </t>
  </si>
  <si>
    <t>Lo recibido por gastos de entierro del trabajador</t>
  </si>
  <si>
    <t>DEDUCCIONES SEGÚN ARTICULO 387 E.T.</t>
  </si>
  <si>
    <t>Pagos a medicina prepagada durante el año anterior (2014) para el trabajador, su conyugue,</t>
  </si>
  <si>
    <t>sus hijos y dependientes. (Valor aporte / total meses en que se aporto) sin exceder de 16 UVT año 2015</t>
  </si>
  <si>
    <t xml:space="preserve">Intereses por prestamos para adquisición de vivienda del trabajador (o el costo financiero en un </t>
  </si>
  <si>
    <t>contrato de leasing para adquirir vivienda del trabajador) pagados en el año anterior (2014)</t>
  </si>
  <si>
    <t>(Valor pagado / total meses en que se pago). Sin exceder de 100 UVT año 2015.</t>
  </si>
  <si>
    <t>RENTAS EXENTAS DEL ARTÍCULO 126-1 Y 126-4 DEL E.T.</t>
  </si>
  <si>
    <t>Aportes obligatorios del mes a fondos de pensiones</t>
  </si>
  <si>
    <t>El 25% de renta excenta por pagos laborales sin exceder de 240 UVT año 2015</t>
  </si>
  <si>
    <t>CONCEPTO</t>
  </si>
  <si>
    <t>VALOR</t>
  </si>
  <si>
    <t>TOTAL INGRESOS MENOS DEDUCCIONES</t>
  </si>
  <si>
    <t>PAGOS LABORALES DEL MES</t>
  </si>
  <si>
    <t>Actividades del Art. 340 E.T.</t>
  </si>
  <si>
    <t>Si son Declarantes de Renta</t>
  </si>
  <si>
    <t>Si tuvieron ingresos brutos superiores a 1400 UVT en el año anterior.</t>
  </si>
  <si>
    <t>Con relación laboral</t>
  </si>
  <si>
    <t>Tabla Art 383</t>
  </si>
  <si>
    <t>Tabla Art 384</t>
  </si>
  <si>
    <t>Tarifas Art. 392</t>
  </si>
  <si>
    <t>Decreto 1473 de 2014</t>
  </si>
  <si>
    <t>No se aplica tabla del articulo 384 (Retención mínima)</t>
  </si>
  <si>
    <t>Tabla Art. 383</t>
  </si>
  <si>
    <t>► Ver Decreto 3032 27 Diciembre 2013</t>
  </si>
  <si>
    <t>(Definiciones)</t>
  </si>
  <si>
    <t>► Decreto 1473 Agosto de 2014</t>
  </si>
  <si>
    <t>Especificación de actividades</t>
  </si>
  <si>
    <t>(Clasificación)</t>
  </si>
  <si>
    <t>► Concepto 885 DIAN</t>
  </si>
  <si>
    <r>
      <t xml:space="preserve">Personas naturales </t>
    </r>
    <r>
      <rPr>
        <b/>
        <sz val="11"/>
        <color theme="4"/>
        <rFont val="Calibri"/>
        <family val="2"/>
        <scheme val="minor"/>
      </rPr>
      <t>(Concepto 885 DIAN)</t>
    </r>
  </si>
  <si>
    <t xml:space="preserve">enero 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</si>
  <si>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</si>
  <si>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</si>
  <si>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</si>
  <si>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</si>
  <si>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</si>
  <si>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</si>
  <si>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</si>
  <si>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</si>
  <si>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</si>
  <si>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</si>
  <si>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</si>
  <si>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</si>
  <si>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VALOR QUE RETIENE QUIEN HACE EL PAGO (QUIEN COMPRA)</t>
  </si>
  <si>
    <t>DIAN</t>
  </si>
  <si>
    <t>Quien retiene es el PAGADOR del servicio (Empleador o empresario)</t>
  </si>
  <si>
    <t>INGRESOS DEL EMPLEADO</t>
  </si>
  <si>
    <t>Estatuto Tributario (Art. 329 E.T.)</t>
  </si>
  <si>
    <t>Prestacion de servicio de manera personal</t>
  </si>
  <si>
    <t>profesion liberal</t>
  </si>
  <si>
    <t>actividad del articulo 340 (venta de prendas de vestir al por mayor)</t>
  </si>
  <si>
    <t>%</t>
  </si>
  <si>
    <t>HASTA</t>
  </si>
  <si>
    <t>DEDUCIBLE</t>
  </si>
  <si>
    <t>UVT AÑO 2015</t>
  </si>
  <si>
    <t>Viáticos permanentes y ocasionales</t>
  </si>
  <si>
    <t>Intereses de cesantías</t>
  </si>
  <si>
    <t>Cesantías</t>
  </si>
  <si>
    <t>Prima (Se incluye pero se resta debido a que debe calcularse de forma idependiente)</t>
  </si>
  <si>
    <t>TOTAL INGRESO DEL MES MENOS PRIMA, CESANTIAS E INTERESES DE CESANTIAS</t>
  </si>
  <si>
    <t>Medios de transporte distintos del subsidio de transporte</t>
  </si>
  <si>
    <t xml:space="preserve">Deducción con concepto de dependientes Puede restarse hasta un 10% del total del ingreso </t>
  </si>
  <si>
    <t>bruto sin exceder de 32 UVT año 2015</t>
  </si>
  <si>
    <t>Cesantías e intereses sobre cesantías</t>
  </si>
  <si>
    <t>Procedimiento 1 o 2</t>
  </si>
  <si>
    <t>UVT AÑO 2014</t>
  </si>
  <si>
    <t>SALARIO EN ESPECIE POR CONCEPTO DE ALIMENTACIÓN</t>
  </si>
  <si>
    <t>1. El salario no puede excecer de 310 UVT</t>
  </si>
  <si>
    <t>2. El descuento por este concepto no puede ser superior a 41 UVT</t>
  </si>
  <si>
    <t>3. La parte que excede y no puede ser descontada debe tratarse como ingreso gravado</t>
  </si>
  <si>
    <t>CESANTÍAS E INTERESES DE CESANTIAS</t>
  </si>
  <si>
    <t>1. Se puede descontar en su totalidad siempre y cuanto el ingreso promedio de los ultimos 6 meses</t>
  </si>
  <si>
    <t>de vinculación no exceda de 350 UVT  (350 x UVT AÑO 2015)</t>
  </si>
  <si>
    <t>2. Si el salario excede de las 350 UVT en ese caso se debe aplicar la siguiente tabla</t>
  </si>
  <si>
    <t>Parte no gravada</t>
  </si>
  <si>
    <t>Proporcionalidad para sueldos superiores a 350 UVT</t>
  </si>
  <si>
    <t>Rango en UVT</t>
  </si>
  <si>
    <t>Mayor a</t>
  </si>
  <si>
    <t>Rango de valores</t>
  </si>
  <si>
    <t>meses</t>
  </si>
  <si>
    <t>enero</t>
  </si>
  <si>
    <t>febrero</t>
  </si>
  <si>
    <t>marzo</t>
  </si>
  <si>
    <t>promedio</t>
  </si>
  <si>
    <t>1. La suma de estos tres valores no puede exceder del 30% de lo devengado en el mes.</t>
  </si>
  <si>
    <t>Valor</t>
  </si>
  <si>
    <t>2. Cada empleador por cada asalariado debe controlar que por estos conceptos combinados, a lo largo del año no se le descuente mas de 3.800 UVT</t>
  </si>
  <si>
    <t>DEDUCCIONES DEL ARTICULO 387</t>
  </si>
  <si>
    <t>1. el % autorizado para descontar no puede exceder la sumatoria de las deducciones de todos los empleadores.</t>
  </si>
  <si>
    <t>2. En los casos de intereses por vivienda en donde el crédito haya sido otorgado al trabajador o al conyugue, solo uno podrá utilizarlo como deducción</t>
  </si>
  <si>
    <t>► Deducciones por dependientes</t>
  </si>
  <si>
    <t>Total monto Máximo</t>
  </si>
  <si>
    <t>Sin exceder de un 10% de su ingreso bruto</t>
  </si>
  <si>
    <t>VALOR DESPUES DE APLICAR LA RENTA EXCENTA (art 383)</t>
  </si>
  <si>
    <t>Art. 383 del ET (Art. 23 ley 1111 de 2006)</t>
  </si>
  <si>
    <t>Rangos en  UVT</t>
  </si>
  <si>
    <t>Tarifa marginal</t>
  </si>
  <si>
    <t>Desde</t>
  </si>
  <si>
    <t>Hasta</t>
  </si>
  <si>
    <t>&gt;0</t>
  </si>
  <si>
    <t>(Ingreso laboral gravado expresado en UVT menos 95 UVT)X19%</t>
  </si>
  <si>
    <t>(Ingreso laboral gravado expresado en UVT menos 150 UVT) X 28% más 10 UVT</t>
  </si>
  <si>
    <t>En adelante</t>
  </si>
  <si>
    <r>
      <t xml:space="preserve">(Ingreso laboral gravado expresado en UVT menos 360 UVT) X </t>
    </r>
    <r>
      <rPr>
        <sz val="11"/>
        <color indexed="10"/>
        <rFont val="Arial"/>
        <family val="2"/>
      </rPr>
      <t>33%</t>
    </r>
    <r>
      <rPr>
        <sz val="11"/>
        <rFont val="Arial"/>
        <family val="2"/>
      </rPr>
      <t xml:space="preserve"> más 69 UVT</t>
    </r>
  </si>
  <si>
    <t>VALOR DEL INGRESO EXPRESADO EN UVT</t>
  </si>
  <si>
    <t>CALCULO DE LA RETENCIÓN</t>
  </si>
  <si>
    <t>FORMULAS PARA CALCULO</t>
  </si>
  <si>
    <t>TOTAL IMPUESTO TABLA ART 383</t>
  </si>
  <si>
    <t xml:space="preserve">Base gravable </t>
  </si>
  <si>
    <t>Valor de la Retención mínima (la base gravable se busca en la tabla del artículo 384 del E.T.)</t>
  </si>
  <si>
    <t>2. Retención mínima del artículo 384 del E.T. Para calculo mensual en en año 2015</t>
  </si>
  <si>
    <t>VALOR PRIMA DE SERVICIOS</t>
  </si>
  <si>
    <t>BASE PARA CALCULO DE LA RENTA EXCENTA DEL 25%</t>
  </si>
  <si>
    <t>RENTAS EXCENTAS articulo 206 ET numerales 1 - 9</t>
  </si>
  <si>
    <t xml:space="preserve">Aporte a Salud obligatorio mensual promedio realizado durante el año gravable anterior (2014) </t>
  </si>
  <si>
    <t>Aportes Voluntarios del mes a fondos de pensiones voluntarias</t>
  </si>
  <si>
    <t>Aportes voluntarios del mes a cuentas de ahorro AFC</t>
  </si>
  <si>
    <t>Licencias de maternidad</t>
  </si>
  <si>
    <t>MAYOR VALOR ENTRE LA TABLA DEL ART 383 Y 384</t>
  </si>
  <si>
    <t>RETENCION A PRACTICAR POR PRIMA DE SERVICIOS</t>
  </si>
  <si>
    <t>VALOR TOTAL DE LA PRIMA DE SERVICIOS</t>
  </si>
  <si>
    <t>MENOS RENTA EXCENTA DEL 25%</t>
  </si>
  <si>
    <t>BASE PARA CALCULO DE LA RETENCIÓN SOBRE LA PRIMA</t>
  </si>
  <si>
    <t>TOTAL RENTAS EXENTAS ENTRE EL SALARIO Y LA PRIMA</t>
  </si>
  <si>
    <t>VALOR EN UVT PARA BASE DE LA PRIMA</t>
  </si>
  <si>
    <t>RETENICIÓN POR PRIMA</t>
  </si>
  <si>
    <t>RANGO Pago mensual o mensualizado (PM) desde (en UVT)</t>
  </si>
  <si>
    <t>Retención (en UVT)</t>
  </si>
  <si>
    <t>RANGO  Pago mensual o mensualizado (PM) desde (en $)</t>
  </si>
  <si>
    <t>27%*PM-135,17</t>
  </si>
  <si>
    <t>Retención mínima a empleados</t>
  </si>
  <si>
    <t>Pagos por salud hechos por el empleado en el mes</t>
  </si>
  <si>
    <t>Pagos por pensiones obligatorias hechas por el empleado del mes</t>
  </si>
  <si>
    <t>varlor en UVT de la base gravable</t>
  </si>
  <si>
    <t>retencion en UVT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</si>
</sst>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indexed="10"/>
      <name val="Arial"/>
      <family val="2"/>
    </font>
    <font>
      <sz val="11"/>
      <name val="Verdana"/>
      <family val="2"/>
    </font>
    <font>
      <b/>
      <i/>
      <sz val="11"/>
      <name val="Arial"/>
      <family val="2"/>
    </font>
    <font>
      <b/>
      <sz val="11"/>
      <color rgb="FF00B0F0"/>
      <name val="Calibri"/>
      <family val="2"/>
      <scheme val="minor"/>
    </font>
    <font>
      <sz val="9"/>
      <color theme="1"/>
      <name val="Arial"/>
      <family val="2"/>
    </font>
    <font>
      <b/>
      <sz val="9"/>
      <color rgb="FF221F1F"/>
      <name val="Arial"/>
      <family val="2"/>
    </font>
    <font>
      <sz val="9"/>
      <color rgb="FF221F1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21F1F"/>
      </left>
      <right/>
      <top style="medium">
        <color rgb="FF221F1F"/>
      </top>
      <bottom/>
      <diagonal/>
    </border>
    <border>
      <left/>
      <right/>
      <top style="medium">
        <color rgb="FF221F1F"/>
      </top>
      <bottom/>
      <diagonal/>
    </border>
    <border>
      <left/>
      <right style="medium">
        <color rgb="FF221F1F"/>
      </right>
      <top style="medium">
        <color rgb="FF221F1F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/>
    <xf numFmtId="0" fontId="0" fillId="0" borderId="12" xfId="0" applyBorder="1"/>
    <xf numFmtId="0" fontId="0" fillId="0" borderId="0" xfId="0" applyBorder="1"/>
    <xf numFmtId="0" fontId="0" fillId="4" borderId="18" xfId="0" applyFill="1" applyBorder="1"/>
    <xf numFmtId="0" fontId="0" fillId="4" borderId="21" xfId="0" applyFill="1" applyBorder="1"/>
    <xf numFmtId="0" fontId="0" fillId="4" borderId="22" xfId="0" applyFill="1" applyBorder="1"/>
    <xf numFmtId="0" fontId="0" fillId="0" borderId="4" xfId="0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 shrinkToFi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1" applyAlignment="1"/>
    <xf numFmtId="0" fontId="8" fillId="0" borderId="0" xfId="1" applyFont="1" applyAlignment="1"/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center" wrapText="1"/>
    </xf>
    <xf numFmtId="3" fontId="0" fillId="0" borderId="0" xfId="0" applyNumberFormat="1"/>
    <xf numFmtId="3" fontId="3" fillId="0" borderId="0" xfId="0" applyNumberFormat="1" applyFont="1"/>
    <xf numFmtId="1" fontId="0" fillId="0" borderId="0" xfId="0" applyNumberFormat="1"/>
    <xf numFmtId="3" fontId="0" fillId="0" borderId="35" xfId="0" applyNumberFormat="1" applyBorder="1"/>
    <xf numFmtId="3" fontId="0" fillId="0" borderId="37" xfId="0" applyNumberFormat="1" applyBorder="1"/>
    <xf numFmtId="3" fontId="0" fillId="0" borderId="39" xfId="0" applyNumberFormat="1" applyBorder="1"/>
    <xf numFmtId="3" fontId="3" fillId="9" borderId="20" xfId="0" applyNumberFormat="1" applyFont="1" applyFill="1" applyBorder="1"/>
    <xf numFmtId="3" fontId="3" fillId="7" borderId="20" xfId="0" applyNumberFormat="1" applyFont="1" applyFill="1" applyBorder="1"/>
    <xf numFmtId="3" fontId="0" fillId="4" borderId="29" xfId="0" applyNumberFormat="1" applyFill="1" applyBorder="1"/>
    <xf numFmtId="3" fontId="0" fillId="4" borderId="30" xfId="0" applyNumberFormat="1" applyFill="1" applyBorder="1"/>
    <xf numFmtId="3" fontId="0" fillId="4" borderId="31" xfId="0" applyNumberFormat="1" applyFill="1" applyBorder="1"/>
    <xf numFmtId="3" fontId="10" fillId="0" borderId="36" xfId="0" applyNumberFormat="1" applyFont="1" applyBorder="1"/>
    <xf numFmtId="3" fontId="5" fillId="0" borderId="26" xfId="0" applyNumberFormat="1" applyFont="1" applyBorder="1" applyAlignment="1">
      <alignment horizontal="center"/>
    </xf>
    <xf numFmtId="3" fontId="10" fillId="0" borderId="38" xfId="0" applyNumberFormat="1" applyFont="1" applyBorder="1"/>
    <xf numFmtId="3" fontId="0" fillId="0" borderId="24" xfId="0" applyNumberFormat="1" applyBorder="1"/>
    <xf numFmtId="3" fontId="0" fillId="0" borderId="35" xfId="0" applyNumberFormat="1" applyBorder="1" applyAlignment="1">
      <alignment horizontal="center"/>
    </xf>
    <xf numFmtId="3" fontId="0" fillId="0" borderId="40" xfId="0" applyNumberFormat="1" applyBorder="1"/>
    <xf numFmtId="3" fontId="0" fillId="0" borderId="25" xfId="0" applyNumberFormat="1" applyBorder="1"/>
    <xf numFmtId="3" fontId="0" fillId="0" borderId="33" xfId="0" applyNumberFormat="1" applyBorder="1"/>
    <xf numFmtId="3" fontId="0" fillId="0" borderId="0" xfId="0" applyNumberFormat="1" applyBorder="1"/>
    <xf numFmtId="9" fontId="0" fillId="0" borderId="0" xfId="0" applyNumberFormat="1"/>
    <xf numFmtId="0" fontId="0" fillId="0" borderId="35" xfId="0" applyFill="1" applyBorder="1" applyAlignment="1">
      <alignment horizontal="center"/>
    </xf>
    <xf numFmtId="9" fontId="0" fillId="0" borderId="35" xfId="3" applyFont="1" applyFill="1" applyBorder="1" applyAlignment="1">
      <alignment horizontal="center"/>
    </xf>
    <xf numFmtId="164" fontId="0" fillId="0" borderId="35" xfId="2" applyNumberFormat="1" applyFont="1" applyFill="1" applyBorder="1"/>
    <xf numFmtId="0" fontId="0" fillId="0" borderId="42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9" fontId="0" fillId="0" borderId="44" xfId="3" applyFont="1" applyFill="1" applyBorder="1" applyAlignment="1">
      <alignment horizontal="center"/>
    </xf>
    <xf numFmtId="164" fontId="0" fillId="0" borderId="44" xfId="2" applyNumberFormat="1" applyFont="1" applyFill="1" applyBorder="1"/>
    <xf numFmtId="0" fontId="16" fillId="0" borderId="41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9" fillId="14" borderId="35" xfId="0" applyFont="1" applyFill="1" applyBorder="1" applyAlignment="1">
      <alignment horizontal="center" vertical="top" wrapText="1"/>
    </xf>
    <xf numFmtId="9" fontId="19" fillId="14" borderId="35" xfId="0" applyNumberFormat="1" applyFont="1" applyFill="1" applyBorder="1" applyAlignment="1">
      <alignment horizontal="center" vertical="top" wrapText="1"/>
    </xf>
    <xf numFmtId="0" fontId="22" fillId="15" borderId="35" xfId="0" applyFont="1" applyFill="1" applyBorder="1" applyAlignment="1">
      <alignment horizontal="center" vertical="top" wrapText="1"/>
    </xf>
    <xf numFmtId="0" fontId="19" fillId="0" borderId="35" xfId="0" applyFont="1" applyFill="1" applyBorder="1" applyAlignment="1">
      <alignment horizontal="center" vertical="top" wrapText="1"/>
    </xf>
    <xf numFmtId="9" fontId="19" fillId="0" borderId="35" xfId="0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wrapText="1"/>
    </xf>
    <xf numFmtId="3" fontId="3" fillId="0" borderId="41" xfId="0" applyNumberFormat="1" applyFont="1" applyBorder="1"/>
    <xf numFmtId="3" fontId="3" fillId="0" borderId="37" xfId="0" applyNumberFormat="1" applyFont="1" applyBorder="1"/>
    <xf numFmtId="3" fontId="0" fillId="0" borderId="44" xfId="0" applyNumberFormat="1" applyBorder="1"/>
    <xf numFmtId="3" fontId="0" fillId="0" borderId="43" xfId="0" applyNumberFormat="1" applyBorder="1"/>
    <xf numFmtId="0" fontId="0" fillId="11" borderId="33" xfId="0" applyFill="1" applyBorder="1"/>
    <xf numFmtId="0" fontId="0" fillId="11" borderId="1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0" xfId="0" applyFill="1"/>
    <xf numFmtId="3" fontId="0" fillId="11" borderId="0" xfId="0" applyNumberFormat="1" applyFill="1"/>
    <xf numFmtId="3" fontId="3" fillId="11" borderId="41" xfId="0" applyNumberFormat="1" applyFont="1" applyFill="1" applyBorder="1"/>
    <xf numFmtId="3" fontId="3" fillId="11" borderId="37" xfId="0" applyNumberFormat="1" applyFont="1" applyFill="1" applyBorder="1"/>
    <xf numFmtId="3" fontId="0" fillId="11" borderId="44" xfId="0" applyNumberFormat="1" applyFill="1" applyBorder="1"/>
    <xf numFmtId="3" fontId="0" fillId="11" borderId="39" xfId="0" applyNumberFormat="1" applyFill="1" applyBorder="1"/>
    <xf numFmtId="3" fontId="0" fillId="11" borderId="47" xfId="0" applyNumberFormat="1" applyFill="1" applyBorder="1"/>
    <xf numFmtId="3" fontId="0" fillId="11" borderId="48" xfId="0" applyNumberFormat="1" applyFill="1" applyBorder="1"/>
    <xf numFmtId="3" fontId="0" fillId="11" borderId="31" xfId="0" applyNumberFormat="1" applyFill="1" applyBorder="1"/>
    <xf numFmtId="3" fontId="0" fillId="11" borderId="35" xfId="0" applyNumberFormat="1" applyFill="1" applyBorder="1"/>
    <xf numFmtId="3" fontId="0" fillId="11" borderId="43" xfId="0" applyNumberFormat="1" applyFill="1" applyBorder="1"/>
    <xf numFmtId="0" fontId="3" fillId="0" borderId="0" xfId="0" applyFont="1" applyAlignment="1"/>
    <xf numFmtId="0" fontId="24" fillId="0" borderId="0" xfId="0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43" fontId="25" fillId="0" borderId="0" xfId="2" applyFont="1"/>
    <xf numFmtId="43" fontId="26" fillId="0" borderId="35" xfId="2" applyFont="1" applyBorder="1" applyAlignment="1">
      <alignment horizontal="center" vertical="top" wrapText="1"/>
    </xf>
    <xf numFmtId="43" fontId="27" fillId="0" borderId="35" xfId="2" applyFont="1" applyBorder="1" applyAlignment="1">
      <alignment horizontal="left" vertical="top" wrapText="1" indent="1"/>
    </xf>
    <xf numFmtId="43" fontId="27" fillId="0" borderId="35" xfId="2" applyFont="1" applyBorder="1" applyAlignment="1">
      <alignment horizontal="center" vertical="top" wrapText="1"/>
    </xf>
    <xf numFmtId="43" fontId="25" fillId="0" borderId="35" xfId="2" applyFont="1" applyBorder="1"/>
    <xf numFmtId="43" fontId="25" fillId="0" borderId="35" xfId="2" applyFont="1" applyBorder="1" applyAlignment="1">
      <alignment horizontal="right"/>
    </xf>
    <xf numFmtId="43" fontId="27" fillId="10" borderId="35" xfId="2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0" borderId="9" xfId="0" applyBorder="1" applyAlignment="1">
      <alignment horizontal="center" wrapText="1" shrinkToFit="1"/>
    </xf>
    <xf numFmtId="0" fontId="0" fillId="0" borderId="10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0" fillId="0" borderId="14" xfId="0" applyBorder="1" applyAlignment="1">
      <alignment horizontal="center" wrapText="1" shrinkToFit="1"/>
    </xf>
    <xf numFmtId="0" fontId="0" fillId="0" borderId="15" xfId="0" applyBorder="1" applyAlignment="1">
      <alignment horizontal="center" wrapText="1" shrinkToFit="1"/>
    </xf>
    <xf numFmtId="0" fontId="0" fillId="0" borderId="16" xfId="0" applyBorder="1" applyAlignment="1">
      <alignment horizontal="center" wrapText="1" shrinkToFi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0" xfId="1" applyAlignment="1">
      <alignment horizontal="left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left"/>
    </xf>
    <xf numFmtId="43" fontId="26" fillId="0" borderId="49" xfId="2" applyFont="1" applyBorder="1" applyAlignment="1">
      <alignment horizontal="center" vertical="top" wrapText="1"/>
    </xf>
    <xf numFmtId="43" fontId="26" fillId="0" borderId="50" xfId="2" applyFont="1" applyBorder="1" applyAlignment="1">
      <alignment horizontal="center" vertical="top" wrapText="1"/>
    </xf>
    <xf numFmtId="43" fontId="26" fillId="0" borderId="51" xfId="2" applyFont="1" applyBorder="1" applyAlignment="1">
      <alignment horizontal="center" vertical="top" wrapText="1"/>
    </xf>
    <xf numFmtId="43" fontId="26" fillId="0" borderId="17" xfId="2" applyFont="1" applyBorder="1" applyAlignment="1">
      <alignment horizontal="center" vertical="top" wrapText="1"/>
    </xf>
    <xf numFmtId="43" fontId="26" fillId="0" borderId="19" xfId="2" applyFont="1" applyBorder="1" applyAlignment="1">
      <alignment horizontal="center" vertical="top" wrapText="1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3" fontId="24" fillId="0" borderId="26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3" fontId="24" fillId="0" borderId="35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center"/>
    </xf>
    <xf numFmtId="0" fontId="17" fillId="13" borderId="26" xfId="0" applyFont="1" applyFill="1" applyBorder="1" applyAlignment="1">
      <alignment horizontal="center"/>
    </xf>
    <xf numFmtId="0" fontId="17" fillId="13" borderId="27" xfId="0" applyFont="1" applyFill="1" applyBorder="1" applyAlignment="1">
      <alignment horizontal="center"/>
    </xf>
    <xf numFmtId="0" fontId="17" fillId="13" borderId="28" xfId="0" applyFont="1" applyFill="1" applyBorder="1" applyAlignment="1">
      <alignment horizontal="center"/>
    </xf>
    <xf numFmtId="0" fontId="22" fillId="15" borderId="35" xfId="0" applyFont="1" applyFill="1" applyBorder="1" applyAlignment="1">
      <alignment horizontal="center" vertical="center" wrapText="1"/>
    </xf>
    <xf numFmtId="0" fontId="22" fillId="15" borderId="35" xfId="0" applyFont="1" applyFill="1" applyBorder="1" applyAlignment="1">
      <alignment horizontal="center" vertical="top" wrapText="1"/>
    </xf>
    <xf numFmtId="43" fontId="23" fillId="15" borderId="35" xfId="2" applyFont="1" applyFill="1" applyBorder="1" applyAlignment="1">
      <alignment horizontal="center" vertical="center" wrapText="1"/>
    </xf>
    <xf numFmtId="3" fontId="3" fillId="15" borderId="35" xfId="0" applyNumberFormat="1" applyFont="1" applyFill="1" applyBorder="1" applyAlignment="1">
      <alignment horizontal="center" vertical="center"/>
    </xf>
    <xf numFmtId="43" fontId="20" fillId="0" borderId="35" xfId="2" applyFont="1" applyFill="1" applyBorder="1" applyAlignment="1">
      <alignment horizontal="center" vertical="top" wrapText="1"/>
    </xf>
    <xf numFmtId="3" fontId="0" fillId="0" borderId="17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3" fontId="0" fillId="0" borderId="43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43" xfId="0" applyNumberFormat="1" applyBorder="1" applyAlignment="1">
      <alignment horizontal="center"/>
    </xf>
    <xf numFmtId="0" fontId="15" fillId="7" borderId="23" xfId="0" applyFont="1" applyFill="1" applyBorder="1" applyAlignment="1">
      <alignment horizontal="center" vertical="top"/>
    </xf>
    <xf numFmtId="0" fontId="15" fillId="7" borderId="21" xfId="0" applyFont="1" applyFill="1" applyBorder="1" applyAlignment="1">
      <alignment horizontal="center" vertical="top"/>
    </xf>
    <xf numFmtId="0" fontId="15" fillId="7" borderId="32" xfId="0" applyFont="1" applyFill="1" applyBorder="1" applyAlignment="1">
      <alignment horizontal="center" vertical="top"/>
    </xf>
    <xf numFmtId="0" fontId="0" fillId="0" borderId="42" xfId="0" applyFont="1" applyBorder="1" applyAlignment="1">
      <alignment horizontal="left" vertical="top"/>
    </xf>
    <xf numFmtId="0" fontId="0" fillId="0" borderId="35" xfId="0" applyFont="1" applyBorder="1" applyAlignment="1">
      <alignment horizontal="left" vertical="top"/>
    </xf>
    <xf numFmtId="0" fontId="3" fillId="0" borderId="42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3" fillId="3" borderId="35" xfId="0" applyFont="1" applyFill="1" applyBorder="1" applyAlignment="1">
      <alignment horizontal="center"/>
    </xf>
    <xf numFmtId="3" fontId="3" fillId="3" borderId="3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right" vertical="top"/>
    </xf>
    <xf numFmtId="0" fontId="3" fillId="0" borderId="35" xfId="0" applyFont="1" applyBorder="1" applyAlignment="1">
      <alignment horizontal="right" vertical="top"/>
    </xf>
    <xf numFmtId="0" fontId="0" fillId="0" borderId="0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" fontId="12" fillId="12" borderId="26" xfId="0" applyNumberFormat="1" applyFont="1" applyFill="1" applyBorder="1" applyAlignment="1">
      <alignment horizontal="center"/>
    </xf>
    <xf numFmtId="4" fontId="12" fillId="12" borderId="28" xfId="0" applyNumberFormat="1" applyFont="1" applyFill="1" applyBorder="1" applyAlignment="1">
      <alignment horizontal="center"/>
    </xf>
    <xf numFmtId="3" fontId="12" fillId="12" borderId="26" xfId="0" applyNumberFormat="1" applyFont="1" applyFill="1" applyBorder="1" applyAlignment="1">
      <alignment horizontal="center"/>
    </xf>
    <xf numFmtId="3" fontId="12" fillId="12" borderId="28" xfId="0" applyNumberFormat="1" applyFont="1" applyFill="1" applyBorder="1" applyAlignment="1">
      <alignment horizontal="center"/>
    </xf>
    <xf numFmtId="0" fontId="0" fillId="11" borderId="46" xfId="0" applyFill="1" applyBorder="1" applyAlignment="1">
      <alignment horizontal="left"/>
    </xf>
    <xf numFmtId="0" fontId="0" fillId="11" borderId="47" xfId="0" applyFill="1" applyBorder="1" applyAlignment="1">
      <alignment horizontal="left"/>
    </xf>
    <xf numFmtId="3" fontId="0" fillId="11" borderId="35" xfId="0" applyNumberFormat="1" applyFill="1" applyBorder="1" applyAlignment="1">
      <alignment horizontal="center"/>
    </xf>
    <xf numFmtId="3" fontId="0" fillId="11" borderId="44" xfId="0" applyNumberFormat="1" applyFill="1" applyBorder="1" applyAlignment="1">
      <alignment horizontal="center"/>
    </xf>
    <xf numFmtId="3" fontId="0" fillId="11" borderId="43" xfId="0" applyNumberFormat="1" applyFill="1" applyBorder="1" applyAlignment="1">
      <alignment horizontal="center"/>
    </xf>
    <xf numFmtId="3" fontId="0" fillId="11" borderId="39" xfId="0" applyNumberFormat="1" applyFill="1" applyBorder="1" applyAlignment="1">
      <alignment horizontal="center"/>
    </xf>
    <xf numFmtId="0" fontId="0" fillId="11" borderId="23" xfId="0" applyFill="1" applyBorder="1" applyAlignment="1">
      <alignment horizontal="left"/>
    </xf>
    <xf numFmtId="0" fontId="0" fillId="11" borderId="21" xfId="0" applyFill="1" applyBorder="1" applyAlignment="1">
      <alignment horizontal="left"/>
    </xf>
    <xf numFmtId="0" fontId="0" fillId="11" borderId="32" xfId="0" applyFill="1" applyBorder="1" applyAlignment="1">
      <alignment horizontal="left"/>
    </xf>
    <xf numFmtId="3" fontId="0" fillId="11" borderId="1" xfId="0" applyNumberFormat="1" applyFill="1" applyBorder="1" applyAlignment="1">
      <alignment horizontal="center"/>
    </xf>
    <xf numFmtId="3" fontId="0" fillId="11" borderId="6" xfId="0" applyNumberFormat="1" applyFill="1" applyBorder="1" applyAlignment="1">
      <alignment horizontal="center"/>
    </xf>
    <xf numFmtId="3" fontId="0" fillId="8" borderId="26" xfId="0" applyNumberFormat="1" applyFill="1" applyBorder="1" applyAlignment="1">
      <alignment horizontal="center"/>
    </xf>
    <xf numFmtId="3" fontId="0" fillId="8" borderId="28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0" fillId="11" borderId="4" xfId="0" applyNumberForma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11" borderId="24" xfId="0" applyFill="1" applyBorder="1" applyAlignment="1">
      <alignment horizontal="left"/>
    </xf>
    <xf numFmtId="0" fontId="0" fillId="11" borderId="18" xfId="0" applyFill="1" applyBorder="1" applyAlignment="1">
      <alignment horizontal="left"/>
    </xf>
    <xf numFmtId="0" fontId="0" fillId="11" borderId="34" xfId="0" applyFill="1" applyBorder="1" applyAlignment="1">
      <alignment horizontal="left"/>
    </xf>
    <xf numFmtId="0" fontId="3" fillId="6" borderId="23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 vertical="center" textRotation="90"/>
    </xf>
    <xf numFmtId="0" fontId="0" fillId="11" borderId="25" xfId="0" applyFill="1" applyBorder="1" applyAlignment="1">
      <alignment horizontal="left"/>
    </xf>
    <xf numFmtId="0" fontId="0" fillId="11" borderId="22" xfId="0" applyFill="1" applyBorder="1" applyAlignment="1">
      <alignment horizontal="left"/>
    </xf>
    <xf numFmtId="0" fontId="0" fillId="11" borderId="45" xfId="0" applyFill="1" applyBorder="1" applyAlignment="1">
      <alignment horizontal="left"/>
    </xf>
    <xf numFmtId="0" fontId="3" fillId="9" borderId="26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41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3" fontId="0" fillId="0" borderId="0" xfId="0" applyNumberFormat="1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194733</xdr:colOff>
      <xdr:row>3</xdr:row>
      <xdr:rowOff>108457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7733" cy="692657"/>
        </a:xfrm>
        <a:prstGeom prst="rect">
          <a:avLst/>
        </a:prstGeom>
      </xdr:spPr>
    </xdr:pic>
    <xdr:clientData/>
  </xdr:twoCellAnchor>
  <xdr:twoCellAnchor>
    <xdr:from>
      <xdr:col>3</xdr:col>
      <xdr:colOff>175260</xdr:colOff>
      <xdr:row>16</xdr:row>
      <xdr:rowOff>60960</xdr:rowOff>
    </xdr:from>
    <xdr:to>
      <xdr:col>4</xdr:col>
      <xdr:colOff>121920</xdr:colOff>
      <xdr:row>17</xdr:row>
      <xdr:rowOff>144780</xdr:rowOff>
    </xdr:to>
    <xdr:sp macro="" textlink="">
      <xdr:nvSpPr>
        <xdr:cNvPr id="3" name="Rectángulo redondeado 2"/>
        <xdr:cNvSpPr/>
      </xdr:nvSpPr>
      <xdr:spPr>
        <a:xfrm>
          <a:off x="1234440" y="2286000"/>
          <a:ext cx="259080" cy="2667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/>
            <a:t>1</a:t>
          </a:r>
        </a:p>
      </xdr:txBody>
    </xdr:sp>
    <xdr:clientData/>
  </xdr:twoCellAnchor>
  <xdr:twoCellAnchor>
    <xdr:from>
      <xdr:col>12</xdr:col>
      <xdr:colOff>137160</xdr:colOff>
      <xdr:row>16</xdr:row>
      <xdr:rowOff>30480</xdr:rowOff>
    </xdr:from>
    <xdr:to>
      <xdr:col>13</xdr:col>
      <xdr:colOff>91440</xdr:colOff>
      <xdr:row>17</xdr:row>
      <xdr:rowOff>114300</xdr:rowOff>
    </xdr:to>
    <xdr:sp macro="" textlink="">
      <xdr:nvSpPr>
        <xdr:cNvPr id="4" name="Rectángulo redondeado 3"/>
        <xdr:cNvSpPr/>
      </xdr:nvSpPr>
      <xdr:spPr>
        <a:xfrm>
          <a:off x="3832860" y="2255520"/>
          <a:ext cx="259080" cy="2667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/>
            <a:t>2</a:t>
          </a:r>
        </a:p>
      </xdr:txBody>
    </xdr:sp>
    <xdr:clientData/>
  </xdr:twoCellAnchor>
  <xdr:twoCellAnchor>
    <xdr:from>
      <xdr:col>21</xdr:col>
      <xdr:colOff>137160</xdr:colOff>
      <xdr:row>16</xdr:row>
      <xdr:rowOff>60960</xdr:rowOff>
    </xdr:from>
    <xdr:to>
      <xdr:col>22</xdr:col>
      <xdr:colOff>91440</xdr:colOff>
      <xdr:row>17</xdr:row>
      <xdr:rowOff>144780</xdr:rowOff>
    </xdr:to>
    <xdr:sp macro="" textlink="">
      <xdr:nvSpPr>
        <xdr:cNvPr id="5" name="Rectángulo redondeado 4"/>
        <xdr:cNvSpPr/>
      </xdr:nvSpPr>
      <xdr:spPr>
        <a:xfrm>
          <a:off x="6880860" y="2286000"/>
          <a:ext cx="259080" cy="26670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/>
            <a:t>3</a:t>
          </a:r>
        </a:p>
      </xdr:txBody>
    </xdr:sp>
    <xdr:clientData/>
  </xdr:twoCellAnchor>
  <xdr:twoCellAnchor>
    <xdr:from>
      <xdr:col>0</xdr:col>
      <xdr:colOff>373380</xdr:colOff>
      <xdr:row>15</xdr:row>
      <xdr:rowOff>60960</xdr:rowOff>
    </xdr:from>
    <xdr:to>
      <xdr:col>12</xdr:col>
      <xdr:colOff>53340</xdr:colOff>
      <xdr:row>33</xdr:row>
      <xdr:rowOff>68580</xdr:rowOff>
    </xdr:to>
    <xdr:sp macro="" textlink="">
      <xdr:nvSpPr>
        <xdr:cNvPr id="6" name="Rectángulo redondeado 5"/>
        <xdr:cNvSpPr/>
      </xdr:nvSpPr>
      <xdr:spPr>
        <a:xfrm>
          <a:off x="373380" y="2103120"/>
          <a:ext cx="3680460" cy="3299460"/>
        </a:xfrm>
        <a:prstGeom prst="roundRect">
          <a:avLst>
            <a:gd name="adj" fmla="val 542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99060</xdr:colOff>
      <xdr:row>15</xdr:row>
      <xdr:rowOff>83820</xdr:rowOff>
    </xdr:from>
    <xdr:to>
      <xdr:col>19</xdr:col>
      <xdr:colOff>137160</xdr:colOff>
      <xdr:row>33</xdr:row>
      <xdr:rowOff>91440</xdr:rowOff>
    </xdr:to>
    <xdr:sp macro="" textlink="">
      <xdr:nvSpPr>
        <xdr:cNvPr id="7" name="Rectángulo redondeado 6"/>
        <xdr:cNvSpPr/>
      </xdr:nvSpPr>
      <xdr:spPr>
        <a:xfrm>
          <a:off x="4099560" y="2125980"/>
          <a:ext cx="2171700" cy="3299460"/>
        </a:xfrm>
        <a:prstGeom prst="roundRect">
          <a:avLst>
            <a:gd name="adj" fmla="val 542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19</xdr:col>
      <xdr:colOff>190500</xdr:colOff>
      <xdr:row>15</xdr:row>
      <xdr:rowOff>60960</xdr:rowOff>
    </xdr:from>
    <xdr:to>
      <xdr:col>29</xdr:col>
      <xdr:colOff>91440</xdr:colOff>
      <xdr:row>33</xdr:row>
      <xdr:rowOff>68580</xdr:rowOff>
    </xdr:to>
    <xdr:sp macro="" textlink="">
      <xdr:nvSpPr>
        <xdr:cNvPr id="8" name="Rectángulo redondeado 7"/>
        <xdr:cNvSpPr/>
      </xdr:nvSpPr>
      <xdr:spPr>
        <a:xfrm>
          <a:off x="6324600" y="2103120"/>
          <a:ext cx="3406140" cy="3299460"/>
        </a:xfrm>
        <a:prstGeom prst="roundRect">
          <a:avLst>
            <a:gd name="adj" fmla="val 542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373380</xdr:colOff>
      <xdr:row>24</xdr:row>
      <xdr:rowOff>64769</xdr:rowOff>
    </xdr:from>
    <xdr:to>
      <xdr:col>1</xdr:col>
      <xdr:colOff>8965</xdr:colOff>
      <xdr:row>39</xdr:row>
      <xdr:rowOff>44822</xdr:rowOff>
    </xdr:to>
    <xdr:cxnSp macro="">
      <xdr:nvCxnSpPr>
        <xdr:cNvPr id="10" name="Conector curvado 9"/>
        <xdr:cNvCxnSpPr>
          <a:stCxn id="6" idx="1"/>
        </xdr:cNvCxnSpPr>
      </xdr:nvCxnSpPr>
      <xdr:spPr>
        <a:xfrm rot="10800000" flipH="1" flipV="1">
          <a:off x="373380" y="4152675"/>
          <a:ext cx="56926" cy="2669465"/>
        </a:xfrm>
        <a:prstGeom prst="curvedConnector4">
          <a:avLst>
            <a:gd name="adj1" fmla="val -559054"/>
            <a:gd name="adj2" fmla="val 101117"/>
          </a:avLst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143437</xdr:colOff>
      <xdr:row>7</xdr:row>
      <xdr:rowOff>84668</xdr:rowOff>
    </xdr:from>
    <xdr:to>
      <xdr:col>16</xdr:col>
      <xdr:colOff>143933</xdr:colOff>
      <xdr:row>8</xdr:row>
      <xdr:rowOff>145926</xdr:rowOff>
    </xdr:to>
    <xdr:cxnSp macro="">
      <xdr:nvCxnSpPr>
        <xdr:cNvPr id="15" name="Conector recto de flecha 14"/>
        <xdr:cNvCxnSpPr/>
      </xdr:nvCxnSpPr>
      <xdr:spPr>
        <a:xfrm flipH="1">
          <a:off x="5358904" y="1422401"/>
          <a:ext cx="496" cy="247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125507</xdr:colOff>
      <xdr:row>10</xdr:row>
      <xdr:rowOff>35859</xdr:rowOff>
    </xdr:from>
    <xdr:to>
      <xdr:col>16</xdr:col>
      <xdr:colOff>125508</xdr:colOff>
      <xdr:row>12</xdr:row>
      <xdr:rowOff>17930</xdr:rowOff>
    </xdr:to>
    <xdr:cxnSp macro="">
      <xdr:nvCxnSpPr>
        <xdr:cNvPr id="17" name="Conector recto de flecha 16"/>
        <xdr:cNvCxnSpPr/>
      </xdr:nvCxnSpPr>
      <xdr:spPr>
        <a:xfrm flipH="1">
          <a:off x="5360895" y="1613647"/>
          <a:ext cx="1" cy="3406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159572</xdr:colOff>
      <xdr:row>13</xdr:row>
      <xdr:rowOff>71717</xdr:rowOff>
    </xdr:from>
    <xdr:to>
      <xdr:col>11</xdr:col>
      <xdr:colOff>152403</xdr:colOff>
      <xdr:row>15</xdr:row>
      <xdr:rowOff>60960</xdr:rowOff>
    </xdr:to>
    <xdr:cxnSp macro="">
      <xdr:nvCxnSpPr>
        <xdr:cNvPr id="18" name="Conector recto de flecha 17"/>
        <xdr:cNvCxnSpPr>
          <a:endCxn id="6" idx="0"/>
        </xdr:cNvCxnSpPr>
      </xdr:nvCxnSpPr>
      <xdr:spPr>
        <a:xfrm flipH="1">
          <a:off x="2221454" y="2187388"/>
          <a:ext cx="1642337" cy="34783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69927</xdr:colOff>
      <xdr:row>13</xdr:row>
      <xdr:rowOff>0</xdr:rowOff>
    </xdr:from>
    <xdr:to>
      <xdr:col>24</xdr:col>
      <xdr:colOff>266476</xdr:colOff>
      <xdr:row>15</xdr:row>
      <xdr:rowOff>60960</xdr:rowOff>
    </xdr:to>
    <xdr:cxnSp macro="">
      <xdr:nvCxnSpPr>
        <xdr:cNvPr id="20" name="Conector recto de flecha 19"/>
        <xdr:cNvCxnSpPr>
          <a:endCxn id="8" idx="0"/>
        </xdr:cNvCxnSpPr>
      </xdr:nvCxnSpPr>
      <xdr:spPr>
        <a:xfrm>
          <a:off x="6829315" y="2115671"/>
          <a:ext cx="1218526" cy="41954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134471</xdr:colOff>
      <xdr:row>13</xdr:row>
      <xdr:rowOff>17929</xdr:rowOff>
    </xdr:from>
    <xdr:to>
      <xdr:col>16</xdr:col>
      <xdr:colOff>134472</xdr:colOff>
      <xdr:row>15</xdr:row>
      <xdr:rowOff>0</xdr:rowOff>
    </xdr:to>
    <xdr:cxnSp macro="">
      <xdr:nvCxnSpPr>
        <xdr:cNvPr id="22" name="Conector recto de flecha 21"/>
        <xdr:cNvCxnSpPr/>
      </xdr:nvCxnSpPr>
      <xdr:spPr>
        <a:xfrm flipH="1">
          <a:off x="5369859" y="2133600"/>
          <a:ext cx="1" cy="3406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126504</xdr:colOff>
      <xdr:row>5</xdr:row>
      <xdr:rowOff>16933</xdr:rowOff>
    </xdr:from>
    <xdr:to>
      <xdr:col>16</xdr:col>
      <xdr:colOff>127000</xdr:colOff>
      <xdr:row>6</xdr:row>
      <xdr:rowOff>18925</xdr:rowOff>
    </xdr:to>
    <xdr:cxnSp macro="">
      <xdr:nvCxnSpPr>
        <xdr:cNvPr id="24" name="Conector recto de flecha 23"/>
        <xdr:cNvCxnSpPr/>
      </xdr:nvCxnSpPr>
      <xdr:spPr>
        <a:xfrm flipH="1">
          <a:off x="5341971" y="982133"/>
          <a:ext cx="496" cy="1882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ormatividad\Decreto_1473_05_Agosto_2014.pdf" TargetMode="External"/><Relationship Id="rId2" Type="http://schemas.openxmlformats.org/officeDocument/2006/relationships/hyperlink" Target="Normatividad\Decreto%203032%2027%20Diciembre%202013.pdf" TargetMode="External"/><Relationship Id="rId1" Type="http://schemas.openxmlformats.org/officeDocument/2006/relationships/hyperlink" Target="Normatividad\Concepto%20885%2031072014%20OTRO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showGridLines="0" showRowColHeaders="0" topLeftCell="A16" zoomScale="90" zoomScaleNormal="90" workbookViewId="0">
      <selection activeCell="D22" sqref="D22:F22"/>
    </sheetView>
  </sheetViews>
  <sheetFormatPr baseColWidth="10" defaultColWidth="5.33203125" defaultRowHeight="14.4" x14ac:dyDescent="0.3"/>
  <cols>
    <col min="1" max="1" width="6.109375" bestFit="1" customWidth="1"/>
    <col min="2" max="2" width="5.33203125" customWidth="1"/>
    <col min="3" max="3" width="4" customWidth="1"/>
    <col min="4" max="4" width="4.5546875" customWidth="1"/>
    <col min="5" max="5" width="5.21875" customWidth="1"/>
    <col min="6" max="6" width="4.6640625" customWidth="1"/>
    <col min="9" max="23" width="4.44140625" customWidth="1"/>
    <col min="24" max="25" width="6" customWidth="1"/>
  </cols>
  <sheetData>
    <row r="1" spans="9:25" ht="15" customHeight="1" x14ac:dyDescent="0.3">
      <c r="I1" s="90" t="s">
        <v>9</v>
      </c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9:25" ht="15" customHeight="1" x14ac:dyDescent="0.3">
      <c r="I2" s="93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9:25" ht="15" customHeight="1" thickBot="1" x14ac:dyDescent="0.35"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8"/>
    </row>
    <row r="4" spans="9:25" ht="15" customHeight="1" x14ac:dyDescent="0.3"/>
    <row r="5" spans="9:25" x14ac:dyDescent="0.3">
      <c r="I5" s="112" t="s">
        <v>0</v>
      </c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9:25" x14ac:dyDescent="0.3"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9:25" x14ac:dyDescent="0.3">
      <c r="I7" s="112" t="s">
        <v>76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9:25" x14ac:dyDescent="0.3"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9:25" ht="15" thickBot="1" x14ac:dyDescent="0.35"/>
    <row r="10" spans="9:25" ht="21.6" thickBot="1" x14ac:dyDescent="0.45">
      <c r="I10" s="99" t="s">
        <v>78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1"/>
    </row>
    <row r="13" spans="9:25" x14ac:dyDescent="0.3">
      <c r="I13" s="115" t="s">
        <v>60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</row>
    <row r="17" spans="2:29" ht="14.4" customHeight="1" x14ac:dyDescent="0.3">
      <c r="F17" s="102" t="s">
        <v>1</v>
      </c>
      <c r="G17" s="103"/>
      <c r="H17" s="104"/>
      <c r="O17" s="108" t="s">
        <v>2</v>
      </c>
      <c r="P17" s="109"/>
      <c r="Q17" s="109"/>
      <c r="R17" s="109"/>
      <c r="X17" s="108" t="s">
        <v>3</v>
      </c>
      <c r="Y17" s="109"/>
      <c r="Z17" s="109"/>
    </row>
    <row r="18" spans="2:29" ht="14.4" customHeight="1" x14ac:dyDescent="0.3">
      <c r="F18" s="105"/>
      <c r="G18" s="106"/>
      <c r="H18" s="107"/>
      <c r="O18" s="110"/>
      <c r="P18" s="111"/>
      <c r="Q18" s="111"/>
      <c r="R18" s="111"/>
      <c r="X18" s="110"/>
      <c r="Y18" s="111"/>
      <c r="Z18" s="111"/>
    </row>
    <row r="19" spans="2:29" ht="14.4" customHeight="1" x14ac:dyDescent="0.3">
      <c r="F19" s="13"/>
      <c r="G19" s="13"/>
      <c r="H19" s="13"/>
      <c r="O19" s="15"/>
      <c r="P19" s="15"/>
      <c r="Q19" s="15"/>
      <c r="R19" s="15"/>
      <c r="X19" s="13"/>
      <c r="Y19" s="13"/>
      <c r="Z19" s="13"/>
    </row>
    <row r="20" spans="2:29" x14ac:dyDescent="0.3">
      <c r="C20" s="115" t="s">
        <v>47</v>
      </c>
      <c r="D20" s="116"/>
      <c r="E20" s="116"/>
      <c r="F20" s="117"/>
      <c r="H20" s="115" t="s">
        <v>4</v>
      </c>
      <c r="I20" s="116"/>
      <c r="J20" s="116"/>
      <c r="K20" s="117"/>
      <c r="L20" s="17"/>
      <c r="O20" s="12"/>
      <c r="P20" s="12"/>
      <c r="Q20" s="12"/>
      <c r="R20" s="12"/>
      <c r="U20" s="115" t="s">
        <v>47</v>
      </c>
      <c r="V20" s="116"/>
      <c r="W20" s="116"/>
      <c r="X20" s="117"/>
      <c r="Z20" s="115" t="s">
        <v>4</v>
      </c>
      <c r="AA20" s="116"/>
      <c r="AB20" s="116"/>
      <c r="AC20" s="117"/>
    </row>
    <row r="21" spans="2:29" x14ac:dyDescent="0.3">
      <c r="O21" s="130" t="s">
        <v>44</v>
      </c>
      <c r="P21" s="131"/>
      <c r="Q21" s="131"/>
      <c r="R21" s="132"/>
      <c r="X21" s="13"/>
      <c r="Y21" s="13"/>
      <c r="Z21" s="13"/>
    </row>
    <row r="22" spans="2:29" x14ac:dyDescent="0.3">
      <c r="D22" s="121" t="s">
        <v>5</v>
      </c>
      <c r="E22" s="122"/>
      <c r="F22" s="123"/>
      <c r="H22" s="121" t="s">
        <v>6</v>
      </c>
      <c r="I22" s="122"/>
      <c r="J22" s="123"/>
      <c r="O22" s="133"/>
      <c r="P22" s="134"/>
      <c r="Q22" s="134"/>
      <c r="R22" s="135"/>
      <c r="V22" s="121" t="s">
        <v>5</v>
      </c>
      <c r="W22" s="122"/>
      <c r="X22" s="123"/>
      <c r="Z22" s="121" t="s">
        <v>6</v>
      </c>
      <c r="AA22" s="122"/>
      <c r="AB22" s="123"/>
    </row>
    <row r="23" spans="2:29" x14ac:dyDescent="0.3">
      <c r="D23" s="16"/>
      <c r="E23" s="16"/>
      <c r="F23" s="16"/>
      <c r="H23" s="16"/>
      <c r="I23" s="16"/>
      <c r="J23" s="16"/>
      <c r="O23" s="15"/>
      <c r="P23" s="15"/>
      <c r="Q23" s="15"/>
      <c r="R23" s="15"/>
    </row>
    <row r="25" spans="2:29" x14ac:dyDescent="0.3">
      <c r="B25" s="158" t="s">
        <v>95</v>
      </c>
      <c r="C25" s="158"/>
      <c r="D25" s="158"/>
      <c r="E25" s="159"/>
      <c r="F25" s="118" t="s">
        <v>48</v>
      </c>
      <c r="G25" s="119"/>
      <c r="H25" s="120"/>
      <c r="I25" s="158" t="s">
        <v>95</v>
      </c>
      <c r="J25" s="158"/>
      <c r="K25" s="158"/>
      <c r="L25" s="159"/>
      <c r="O25" s="124" t="s">
        <v>51</v>
      </c>
      <c r="P25" s="125"/>
      <c r="Q25" s="125"/>
      <c r="R25" s="126"/>
      <c r="V25" s="118" t="s">
        <v>53</v>
      </c>
      <c r="W25" s="119"/>
      <c r="X25" s="120"/>
      <c r="Z25" s="118" t="s">
        <v>50</v>
      </c>
      <c r="AA25" s="119"/>
      <c r="AB25" s="120"/>
    </row>
    <row r="26" spans="2:29" x14ac:dyDescent="0.3">
      <c r="O26" s="127"/>
      <c r="P26" s="128"/>
      <c r="Q26" s="128"/>
      <c r="R26" s="129"/>
    </row>
    <row r="27" spans="2:29" ht="14.4" customHeight="1" x14ac:dyDescent="0.3">
      <c r="B27" s="136" t="s">
        <v>45</v>
      </c>
      <c r="C27" s="137"/>
      <c r="D27" s="137"/>
      <c r="E27" s="137"/>
      <c r="F27" s="138"/>
      <c r="H27" s="130" t="s">
        <v>46</v>
      </c>
      <c r="I27" s="131"/>
      <c r="J27" s="131"/>
      <c r="K27" s="131"/>
      <c r="L27" s="132"/>
      <c r="M27" s="18"/>
      <c r="O27" s="14"/>
      <c r="P27" s="14"/>
      <c r="Q27" s="14"/>
      <c r="R27" s="14"/>
    </row>
    <row r="28" spans="2:29" x14ac:dyDescent="0.3">
      <c r="B28" s="139"/>
      <c r="C28" s="140"/>
      <c r="D28" s="140"/>
      <c r="E28" s="140"/>
      <c r="F28" s="141"/>
      <c r="H28" s="155"/>
      <c r="I28" s="156"/>
      <c r="J28" s="156"/>
      <c r="K28" s="156"/>
      <c r="L28" s="157"/>
      <c r="M28" s="18"/>
      <c r="O28" s="14"/>
      <c r="P28" s="14"/>
      <c r="Q28" s="14"/>
      <c r="R28" s="14"/>
      <c r="W28" s="146" t="s">
        <v>52</v>
      </c>
      <c r="X28" s="147"/>
      <c r="Y28" s="147"/>
      <c r="Z28" s="147"/>
      <c r="AA28" s="148"/>
    </row>
    <row r="29" spans="2:29" x14ac:dyDescent="0.3">
      <c r="B29" s="142"/>
      <c r="C29" s="143"/>
      <c r="D29" s="143"/>
      <c r="E29" s="143"/>
      <c r="F29" s="144"/>
      <c r="H29" s="133"/>
      <c r="I29" s="134"/>
      <c r="J29" s="134"/>
      <c r="K29" s="134"/>
      <c r="L29" s="135"/>
      <c r="M29" s="18"/>
      <c r="O29" s="124" t="s">
        <v>8</v>
      </c>
      <c r="P29" s="125"/>
      <c r="Q29" s="125"/>
      <c r="R29" s="126"/>
      <c r="W29" s="149"/>
      <c r="X29" s="150"/>
      <c r="Y29" s="150"/>
      <c r="Z29" s="150"/>
      <c r="AA29" s="151"/>
    </row>
    <row r="30" spans="2:29" x14ac:dyDescent="0.3">
      <c r="O30" s="127"/>
      <c r="P30" s="128"/>
      <c r="Q30" s="128"/>
      <c r="R30" s="129"/>
      <c r="W30" s="152"/>
      <c r="X30" s="153"/>
      <c r="Y30" s="153"/>
      <c r="Z30" s="153"/>
      <c r="AA30" s="154"/>
    </row>
    <row r="32" spans="2:29" x14ac:dyDescent="0.3">
      <c r="F32" s="118" t="s">
        <v>49</v>
      </c>
      <c r="G32" s="119"/>
      <c r="H32" s="120"/>
    </row>
    <row r="35" spans="2:22" x14ac:dyDescent="0.3">
      <c r="B35" s="145" t="s">
        <v>54</v>
      </c>
      <c r="C35" s="145"/>
      <c r="D35" s="145"/>
      <c r="E35" s="145"/>
      <c r="F35" s="145"/>
      <c r="G35" s="145"/>
      <c r="H35" s="145"/>
      <c r="I35" s="19"/>
      <c r="J35" s="20" t="s">
        <v>55</v>
      </c>
      <c r="N35" s="145" t="s">
        <v>56</v>
      </c>
      <c r="O35" s="145"/>
      <c r="P35" s="145"/>
      <c r="Q35" s="145"/>
      <c r="R35" s="145"/>
      <c r="S35" s="145"/>
      <c r="T35" s="145"/>
      <c r="U35" s="19"/>
      <c r="V35" s="19"/>
    </row>
    <row r="36" spans="2:22" x14ac:dyDescent="0.3">
      <c r="B36" s="145" t="s">
        <v>59</v>
      </c>
      <c r="C36" s="145"/>
      <c r="D36" s="145"/>
      <c r="E36" s="145"/>
      <c r="F36" s="145"/>
      <c r="G36" s="145"/>
      <c r="H36" s="145"/>
      <c r="I36" s="11"/>
      <c r="J36" s="20" t="s">
        <v>58</v>
      </c>
      <c r="O36" t="s">
        <v>57</v>
      </c>
    </row>
    <row r="39" spans="2:22" x14ac:dyDescent="0.3">
      <c r="B39" s="136" t="s">
        <v>7</v>
      </c>
      <c r="C39" s="137"/>
      <c r="D39" s="137"/>
      <c r="E39" s="137"/>
      <c r="F39" s="137"/>
      <c r="G39" s="138"/>
    </row>
    <row r="40" spans="2:22" x14ac:dyDescent="0.3">
      <c r="B40" s="139"/>
      <c r="C40" s="140"/>
      <c r="D40" s="140"/>
      <c r="E40" s="140"/>
      <c r="F40" s="140"/>
      <c r="G40" s="141"/>
    </row>
    <row r="41" spans="2:22" x14ac:dyDescent="0.3">
      <c r="B41" s="142"/>
      <c r="C41" s="143"/>
      <c r="D41" s="143"/>
      <c r="E41" s="143"/>
      <c r="F41" s="143"/>
      <c r="G41" s="144"/>
    </row>
  </sheetData>
  <mergeCells count="32">
    <mergeCell ref="B39:G41"/>
    <mergeCell ref="I7:Y7"/>
    <mergeCell ref="B35:H35"/>
    <mergeCell ref="B36:H36"/>
    <mergeCell ref="N35:T35"/>
    <mergeCell ref="W28:AA30"/>
    <mergeCell ref="F25:H25"/>
    <mergeCell ref="B27:F29"/>
    <mergeCell ref="H27:L29"/>
    <mergeCell ref="B25:E25"/>
    <mergeCell ref="I25:L25"/>
    <mergeCell ref="F32:H32"/>
    <mergeCell ref="U20:X20"/>
    <mergeCell ref="Z20:AC20"/>
    <mergeCell ref="V22:X22"/>
    <mergeCell ref="Z22:AB22"/>
    <mergeCell ref="V25:X25"/>
    <mergeCell ref="Z25:AB25"/>
    <mergeCell ref="O29:R30"/>
    <mergeCell ref="O21:R22"/>
    <mergeCell ref="O25:R26"/>
    <mergeCell ref="H20:K20"/>
    <mergeCell ref="C20:F20"/>
    <mergeCell ref="D22:F22"/>
    <mergeCell ref="H22:J22"/>
    <mergeCell ref="I1:Y3"/>
    <mergeCell ref="I10:Y10"/>
    <mergeCell ref="F17:H18"/>
    <mergeCell ref="O17:R18"/>
    <mergeCell ref="X17:Z18"/>
    <mergeCell ref="I5:Y5"/>
    <mergeCell ref="I13:Y13"/>
  </mergeCells>
  <hyperlinks>
    <hyperlink ref="B36:H36" r:id="rId1" display="► Concepto 885 31072014 OTROS"/>
    <hyperlink ref="B35:H35" r:id="rId2" display="► Ver Decreto 3032 27 Diciembre 2013"/>
    <hyperlink ref="N35:T35" r:id="rId3" display="► Decreto 1473 Agosto de 2014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8" sqref="H8"/>
    </sheetView>
  </sheetViews>
  <sheetFormatPr baseColWidth="10" defaultRowHeight="14.4" x14ac:dyDescent="0.3"/>
  <cols>
    <col min="1" max="8" width="9.109375" bestFit="1" customWidth="1"/>
    <col min="9" max="9" width="10.44140625" bestFit="1" customWidth="1"/>
    <col min="10" max="10" width="9.109375" bestFit="1" customWidth="1"/>
    <col min="11" max="11" width="10.109375" bestFit="1" customWidth="1"/>
    <col min="12" max="12" width="9.33203125" bestFit="1" customWidth="1"/>
  </cols>
  <sheetData>
    <row r="1" spans="1:13" x14ac:dyDescent="0.3">
      <c r="A1" s="172" t="s">
        <v>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3" x14ac:dyDescent="0.3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3" x14ac:dyDescent="0.3">
      <c r="A3" s="21" t="s">
        <v>61</v>
      </c>
      <c r="B3" s="21" t="s">
        <v>62</v>
      </c>
      <c r="C3" s="21" t="s">
        <v>63</v>
      </c>
      <c r="D3" s="21" t="s">
        <v>64</v>
      </c>
      <c r="E3" s="21" t="s">
        <v>65</v>
      </c>
      <c r="F3" s="21" t="s">
        <v>66</v>
      </c>
      <c r="G3" s="21" t="s">
        <v>67</v>
      </c>
      <c r="H3" s="21" t="s">
        <v>68</v>
      </c>
      <c r="I3" s="21" t="s">
        <v>69</v>
      </c>
      <c r="J3" s="21" t="s">
        <v>70</v>
      </c>
      <c r="K3" s="21" t="s">
        <v>71</v>
      </c>
      <c r="L3" s="21" t="s">
        <v>72</v>
      </c>
      <c r="M3" s="21" t="s">
        <v>73</v>
      </c>
    </row>
    <row r="4" spans="1:13" x14ac:dyDescent="0.3">
      <c r="A4" s="22">
        <v>4914559</v>
      </c>
      <c r="B4" s="22">
        <v>4721087</v>
      </c>
      <c r="C4" s="22">
        <v>3847311</v>
      </c>
      <c r="D4" s="22">
        <v>3686418</v>
      </c>
      <c r="E4" s="22">
        <v>5994711</v>
      </c>
      <c r="F4" s="22">
        <v>4392357</v>
      </c>
      <c r="G4" s="22">
        <v>3669621</v>
      </c>
      <c r="H4" s="22">
        <v>4163073</v>
      </c>
      <c r="I4" s="22">
        <v>3785826</v>
      </c>
      <c r="J4" s="22">
        <v>5909084</v>
      </c>
      <c r="K4" s="22">
        <v>4825921</v>
      </c>
      <c r="L4" s="22">
        <v>4823504</v>
      </c>
      <c r="M4" s="24">
        <f>SUM(A4:L4)</f>
        <v>54733472</v>
      </c>
    </row>
    <row r="6" spans="1:13" x14ac:dyDescent="0.3">
      <c r="A6" s="23">
        <f>+A4-A8</f>
        <v>4619685.46</v>
      </c>
      <c r="B6" s="23">
        <f t="shared" ref="B6:L6" si="0">+B4-B8</f>
        <v>4437821.78</v>
      </c>
      <c r="C6" s="23">
        <f t="shared" si="0"/>
        <v>3616472.34</v>
      </c>
      <c r="D6" s="23">
        <f t="shared" si="0"/>
        <v>3465232.92</v>
      </c>
      <c r="E6" s="23">
        <f t="shared" si="0"/>
        <v>5635028.3399999999</v>
      </c>
      <c r="F6" s="23">
        <f t="shared" si="0"/>
        <v>4128815.58</v>
      </c>
      <c r="G6" s="23">
        <f t="shared" si="0"/>
        <v>3449443.74</v>
      </c>
      <c r="H6" s="23">
        <f t="shared" si="0"/>
        <v>3913288.62</v>
      </c>
      <c r="I6" s="23">
        <f t="shared" si="0"/>
        <v>3558676.44</v>
      </c>
      <c r="J6" s="23">
        <f t="shared" si="0"/>
        <v>5554538.96</v>
      </c>
      <c r="K6" s="23">
        <f t="shared" si="0"/>
        <v>4536365.74</v>
      </c>
      <c r="L6" s="23">
        <f t="shared" si="0"/>
        <v>4534093.76</v>
      </c>
    </row>
    <row r="8" spans="1:13" x14ac:dyDescent="0.3">
      <c r="A8" s="22">
        <v>294873.53999999998</v>
      </c>
      <c r="B8" s="22">
        <v>283265.21999999997</v>
      </c>
      <c r="C8" s="22">
        <v>230838.66</v>
      </c>
      <c r="D8" s="22">
        <v>221185.08</v>
      </c>
      <c r="E8" s="22">
        <v>359682.66</v>
      </c>
      <c r="F8" s="22">
        <v>263541.42</v>
      </c>
      <c r="G8" s="22">
        <v>220177.26</v>
      </c>
      <c r="H8" s="22">
        <v>249784.38</v>
      </c>
      <c r="I8" s="22">
        <v>227149.56</v>
      </c>
      <c r="J8" s="22">
        <v>354545.04</v>
      </c>
      <c r="K8" s="22">
        <v>289555.26</v>
      </c>
      <c r="L8" s="22">
        <v>289410.24</v>
      </c>
      <c r="M8" s="24">
        <f>SUM(A8:L8)</f>
        <v>3284008.3200000003</v>
      </c>
    </row>
    <row r="9" spans="1:13" x14ac:dyDescent="0.3">
      <c r="A9" s="160" t="s">
        <v>74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2"/>
    </row>
    <row r="10" spans="1:13" x14ac:dyDescent="0.3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/>
    </row>
    <row r="12" spans="1:13" x14ac:dyDescent="0.3">
      <c r="E12" s="166" t="s">
        <v>75</v>
      </c>
      <c r="F12" s="167"/>
      <c r="G12" s="167"/>
      <c r="H12" s="168"/>
    </row>
    <row r="13" spans="1:13" x14ac:dyDescent="0.3">
      <c r="E13" s="169"/>
      <c r="F13" s="170"/>
      <c r="G13" s="170"/>
      <c r="H13" s="171"/>
    </row>
  </sheetData>
  <mergeCells count="3">
    <mergeCell ref="A9:L10"/>
    <mergeCell ref="E12:H13"/>
    <mergeCell ref="A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0" sqref="A10:G10"/>
    </sheetView>
  </sheetViews>
  <sheetFormatPr baseColWidth="10" defaultRowHeight="14.4" x14ac:dyDescent="0.3"/>
  <cols>
    <col min="1" max="1" width="55.77734375" bestFit="1" customWidth="1"/>
  </cols>
  <sheetData>
    <row r="1" spans="1:7" x14ac:dyDescent="0.3">
      <c r="A1" t="s">
        <v>79</v>
      </c>
      <c r="B1">
        <v>800000</v>
      </c>
      <c r="C1" s="25">
        <f>+B1*100/B4</f>
        <v>33.755274261603375</v>
      </c>
      <c r="D1" t="s">
        <v>82</v>
      </c>
      <c r="E1" s="25">
        <f>+C1+C2</f>
        <v>71.308016877637129</v>
      </c>
    </row>
    <row r="2" spans="1:7" x14ac:dyDescent="0.3">
      <c r="A2" t="s">
        <v>80</v>
      </c>
      <c r="B2">
        <v>890000</v>
      </c>
      <c r="C2" s="25">
        <f>+B2*100/B4</f>
        <v>37.552742616033754</v>
      </c>
      <c r="D2" t="s">
        <v>82</v>
      </c>
    </row>
    <row r="3" spans="1:7" x14ac:dyDescent="0.3">
      <c r="A3" t="s">
        <v>81</v>
      </c>
      <c r="B3">
        <v>680000</v>
      </c>
      <c r="C3" s="25">
        <f>+B3*100/B4</f>
        <v>28.691983122362871</v>
      </c>
      <c r="D3" t="s">
        <v>82</v>
      </c>
    </row>
    <row r="4" spans="1:7" x14ac:dyDescent="0.3">
      <c r="B4">
        <f>SUM(B1:B3)</f>
        <v>2370000</v>
      </c>
    </row>
    <row r="10" spans="1:7" x14ac:dyDescent="0.3">
      <c r="A10" s="173" t="s">
        <v>27</v>
      </c>
      <c r="B10" s="174"/>
      <c r="C10" s="174"/>
      <c r="D10" s="174"/>
      <c r="E10" s="174"/>
      <c r="F10" s="174"/>
      <c r="G10" s="175"/>
    </row>
  </sheetData>
  <mergeCells count="1">
    <mergeCell ref="A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8"/>
  <sheetViews>
    <sheetView showGridLines="0" tabSelected="1" topLeftCell="B89" workbookViewId="0">
      <selection activeCell="J107" sqref="J107"/>
    </sheetView>
  </sheetViews>
  <sheetFormatPr baseColWidth="10" defaultRowHeight="14.4" x14ac:dyDescent="0.3"/>
  <cols>
    <col min="1" max="1" width="9.109375" customWidth="1"/>
    <col min="3" max="3" width="11.6640625" bestFit="1" customWidth="1"/>
    <col min="4" max="4" width="15.6640625" bestFit="1" customWidth="1"/>
    <col min="5" max="5" width="11.6640625" bestFit="1" customWidth="1"/>
    <col min="6" max="6" width="13.44140625" bestFit="1" customWidth="1"/>
    <col min="7" max="7" width="14.33203125" bestFit="1" customWidth="1"/>
    <col min="9" max="9" width="14.5546875" style="23" customWidth="1"/>
    <col min="10" max="10" width="11.5546875" style="23"/>
    <col min="11" max="11" width="13" style="23" bestFit="1" customWidth="1"/>
  </cols>
  <sheetData>
    <row r="1" spans="1:11" ht="16.2" thickBot="1" x14ac:dyDescent="0.35">
      <c r="A1" s="252" t="s">
        <v>10</v>
      </c>
      <c r="B1" s="252"/>
      <c r="C1" s="252"/>
      <c r="D1" s="252"/>
      <c r="E1" s="252"/>
      <c r="F1" s="252"/>
      <c r="G1" s="252"/>
      <c r="H1" s="252"/>
      <c r="I1" s="252"/>
    </row>
    <row r="2" spans="1:11" ht="16.2" thickBot="1" x14ac:dyDescent="0.35">
      <c r="A2" s="251" t="s">
        <v>11</v>
      </c>
      <c r="B2" s="251"/>
      <c r="C2" s="251"/>
      <c r="D2" s="251"/>
      <c r="E2" s="251"/>
      <c r="F2" s="251"/>
      <c r="G2" s="251"/>
      <c r="H2" s="251"/>
      <c r="I2" s="251"/>
      <c r="J2" s="34" t="s">
        <v>96</v>
      </c>
      <c r="K2" s="27">
        <v>27485</v>
      </c>
    </row>
    <row r="3" spans="1:11" ht="16.2" thickBot="1" x14ac:dyDescent="0.35">
      <c r="A3" s="253" t="s">
        <v>40</v>
      </c>
      <c r="B3" s="254"/>
      <c r="C3" s="254"/>
      <c r="D3" s="254"/>
      <c r="E3" s="254"/>
      <c r="F3" s="254"/>
      <c r="G3" s="254"/>
      <c r="H3" s="255"/>
      <c r="I3" s="35" t="s">
        <v>41</v>
      </c>
      <c r="J3" s="36" t="s">
        <v>85</v>
      </c>
      <c r="K3" s="28">
        <v>28279</v>
      </c>
    </row>
    <row r="4" spans="1:11" ht="16.2" thickBot="1" x14ac:dyDescent="0.35">
      <c r="A4" s="274" t="s">
        <v>12</v>
      </c>
      <c r="B4" s="271" t="s">
        <v>43</v>
      </c>
      <c r="C4" s="272"/>
      <c r="D4" s="272"/>
      <c r="E4" s="272"/>
      <c r="F4" s="272"/>
      <c r="G4" s="272"/>
      <c r="H4" s="272"/>
      <c r="I4" s="273"/>
    </row>
    <row r="5" spans="1:11" ht="14.4" customHeight="1" x14ac:dyDescent="0.3">
      <c r="A5" s="275"/>
      <c r="B5" s="8" t="s">
        <v>13</v>
      </c>
      <c r="C5" s="5"/>
      <c r="D5" s="5"/>
      <c r="E5" s="5"/>
      <c r="F5" s="5"/>
      <c r="G5" s="5"/>
      <c r="H5" s="5"/>
      <c r="I5" s="31">
        <v>12300000</v>
      </c>
    </row>
    <row r="6" spans="1:11" x14ac:dyDescent="0.3">
      <c r="A6" s="275"/>
      <c r="B6" s="9" t="s">
        <v>14</v>
      </c>
      <c r="C6" s="4"/>
      <c r="D6" s="4"/>
      <c r="E6" s="4"/>
      <c r="F6" s="4"/>
      <c r="G6" s="4"/>
      <c r="H6" s="4"/>
      <c r="I6" s="32"/>
    </row>
    <row r="7" spans="1:11" x14ac:dyDescent="0.3">
      <c r="A7" s="275"/>
      <c r="B7" s="9" t="s">
        <v>15</v>
      </c>
      <c r="C7" s="4"/>
      <c r="D7" s="4"/>
      <c r="E7" s="4"/>
      <c r="F7" s="4"/>
      <c r="G7" s="4"/>
      <c r="H7" s="4"/>
      <c r="I7" s="32">
        <v>800000</v>
      </c>
    </row>
    <row r="8" spans="1:11" x14ac:dyDescent="0.3">
      <c r="A8" s="275"/>
      <c r="B8" s="9" t="s">
        <v>16</v>
      </c>
      <c r="C8" s="4"/>
      <c r="D8" s="4"/>
      <c r="E8" s="4"/>
      <c r="F8" s="4"/>
      <c r="G8" s="4"/>
      <c r="H8" s="4"/>
      <c r="I8" s="32">
        <v>36000</v>
      </c>
    </row>
    <row r="9" spans="1:11" x14ac:dyDescent="0.3">
      <c r="A9" s="275"/>
      <c r="B9" s="9" t="s">
        <v>17</v>
      </c>
      <c r="C9" s="4"/>
      <c r="D9" s="4"/>
      <c r="E9" s="4"/>
      <c r="F9" s="4"/>
      <c r="G9" s="4"/>
      <c r="H9" s="4"/>
      <c r="I9" s="32">
        <v>120000</v>
      </c>
    </row>
    <row r="10" spans="1:11" x14ac:dyDescent="0.3">
      <c r="A10" s="275"/>
      <c r="B10" s="9" t="s">
        <v>18</v>
      </c>
      <c r="C10" s="4"/>
      <c r="D10" s="4"/>
      <c r="E10" s="4"/>
      <c r="F10" s="4"/>
      <c r="G10" s="4"/>
      <c r="H10" s="4"/>
      <c r="I10" s="32">
        <v>635000</v>
      </c>
    </row>
    <row r="11" spans="1:11" x14ac:dyDescent="0.3">
      <c r="A11" s="275"/>
      <c r="B11" s="9" t="s">
        <v>19</v>
      </c>
      <c r="C11" s="4"/>
      <c r="D11" s="4"/>
      <c r="E11" s="4"/>
      <c r="F11" s="4"/>
      <c r="G11" s="4"/>
      <c r="H11" s="4"/>
      <c r="I11" s="32"/>
    </row>
    <row r="12" spans="1:11" x14ac:dyDescent="0.3">
      <c r="A12" s="275"/>
      <c r="B12" s="9" t="s">
        <v>86</v>
      </c>
      <c r="C12" s="4"/>
      <c r="D12" s="4"/>
      <c r="E12" s="4"/>
      <c r="F12" s="4"/>
      <c r="G12" s="4"/>
      <c r="H12" s="4"/>
      <c r="I12" s="32">
        <v>2350000</v>
      </c>
    </row>
    <row r="13" spans="1:11" x14ac:dyDescent="0.3">
      <c r="A13" s="275"/>
      <c r="B13" s="9" t="s">
        <v>20</v>
      </c>
      <c r="C13" s="4"/>
      <c r="D13" s="4"/>
      <c r="E13" s="4"/>
      <c r="F13" s="4"/>
      <c r="G13" s="4"/>
      <c r="H13" s="4"/>
      <c r="I13" s="32"/>
    </row>
    <row r="14" spans="1:11" x14ac:dyDescent="0.3">
      <c r="A14" s="275"/>
      <c r="B14" s="9" t="s">
        <v>21</v>
      </c>
      <c r="C14" s="4"/>
      <c r="D14" s="4"/>
      <c r="E14" s="4"/>
      <c r="F14" s="4"/>
      <c r="G14" s="4"/>
      <c r="H14" s="4"/>
      <c r="I14" s="32"/>
    </row>
    <row r="15" spans="1:11" x14ac:dyDescent="0.3">
      <c r="A15" s="275"/>
      <c r="B15" s="9" t="s">
        <v>88</v>
      </c>
      <c r="C15" s="4"/>
      <c r="D15" s="4"/>
      <c r="E15" s="4"/>
      <c r="F15" s="4"/>
      <c r="G15" s="4"/>
      <c r="H15" s="4"/>
      <c r="I15" s="32">
        <v>1285760.0000000002</v>
      </c>
    </row>
    <row r="16" spans="1:11" x14ac:dyDescent="0.3">
      <c r="A16" s="275"/>
      <c r="B16" s="9" t="s">
        <v>87</v>
      </c>
      <c r="C16" s="4"/>
      <c r="D16" s="4"/>
      <c r="E16" s="4"/>
      <c r="F16" s="4"/>
      <c r="G16" s="4"/>
      <c r="H16" s="4"/>
      <c r="I16" s="32">
        <v>137760.00000000023</v>
      </c>
    </row>
    <row r="17" spans="1:11" x14ac:dyDescent="0.3">
      <c r="A17" s="275"/>
      <c r="B17" s="9" t="s">
        <v>89</v>
      </c>
      <c r="C17" s="4"/>
      <c r="D17" s="4"/>
      <c r="E17" s="4"/>
      <c r="F17" s="4"/>
      <c r="G17" s="4"/>
      <c r="H17" s="4"/>
      <c r="I17" s="32">
        <f>12300000/6</f>
        <v>2050000</v>
      </c>
    </row>
    <row r="18" spans="1:11" x14ac:dyDescent="0.3">
      <c r="A18" s="275"/>
      <c r="B18" s="9" t="s">
        <v>22</v>
      </c>
      <c r="C18" s="4"/>
      <c r="D18" s="4"/>
      <c r="E18" s="4"/>
      <c r="F18" s="4"/>
      <c r="G18" s="4"/>
      <c r="H18" s="4"/>
      <c r="I18" s="32"/>
    </row>
    <row r="19" spans="1:11" ht="15" thickBot="1" x14ac:dyDescent="0.35">
      <c r="A19" s="275"/>
      <c r="B19" s="10" t="s">
        <v>23</v>
      </c>
      <c r="C19" s="6"/>
      <c r="D19" s="6"/>
      <c r="E19" s="6"/>
      <c r="F19" s="6"/>
      <c r="G19" s="6"/>
      <c r="H19" s="6"/>
      <c r="I19" s="33"/>
    </row>
    <row r="20" spans="1:11" ht="15" thickBot="1" x14ac:dyDescent="0.35">
      <c r="A20" s="275"/>
      <c r="B20" s="280" t="s">
        <v>24</v>
      </c>
      <c r="C20" s="281"/>
      <c r="D20" s="281"/>
      <c r="E20" s="281"/>
      <c r="F20" s="281"/>
      <c r="G20" s="281"/>
      <c r="H20" s="282"/>
      <c r="I20" s="29">
        <f>SUM(I5:I19)</f>
        <v>19714520</v>
      </c>
    </row>
    <row r="21" spans="1:11" ht="15" thickBot="1" x14ac:dyDescent="0.35">
      <c r="A21" s="276"/>
      <c r="B21" s="257" t="s">
        <v>90</v>
      </c>
      <c r="C21" s="258"/>
      <c r="D21" s="258"/>
      <c r="E21" s="258"/>
      <c r="F21" s="258"/>
      <c r="G21" s="258"/>
      <c r="H21" s="259"/>
      <c r="I21" s="30">
        <f>+I20-I17-I15-I16</f>
        <v>16241000</v>
      </c>
    </row>
    <row r="22" spans="1:11" ht="15" thickBot="1" x14ac:dyDescent="0.35">
      <c r="B22" s="1"/>
    </row>
    <row r="23" spans="1:11" x14ac:dyDescent="0.3">
      <c r="A23" s="2" t="s">
        <v>25</v>
      </c>
      <c r="B23" s="269" t="s">
        <v>26</v>
      </c>
      <c r="C23" s="270"/>
      <c r="D23" s="270"/>
      <c r="E23" s="270"/>
      <c r="F23" s="270"/>
      <c r="G23" s="270"/>
      <c r="H23" s="270"/>
      <c r="I23" s="270"/>
      <c r="J23" s="61" t="s">
        <v>83</v>
      </c>
      <c r="K23" s="62" t="s">
        <v>84</v>
      </c>
    </row>
    <row r="24" spans="1:11" x14ac:dyDescent="0.3">
      <c r="A24" s="2"/>
      <c r="B24" s="173" t="s">
        <v>27</v>
      </c>
      <c r="C24" s="174"/>
      <c r="D24" s="174"/>
      <c r="E24" s="174"/>
      <c r="F24" s="174"/>
      <c r="G24" s="174"/>
      <c r="H24" s="175"/>
      <c r="I24" s="37">
        <v>362000</v>
      </c>
      <c r="J24" s="38"/>
      <c r="K24" s="64">
        <v>362000</v>
      </c>
    </row>
    <row r="25" spans="1:11" x14ac:dyDescent="0.3">
      <c r="A25" s="2"/>
      <c r="B25" s="173" t="s">
        <v>91</v>
      </c>
      <c r="C25" s="174"/>
      <c r="D25" s="174"/>
      <c r="E25" s="174"/>
      <c r="F25" s="174"/>
      <c r="G25" s="174"/>
      <c r="H25" s="175"/>
      <c r="I25" s="39"/>
      <c r="J25" s="38"/>
      <c r="K25" s="64"/>
    </row>
    <row r="26" spans="1:11" ht="15" thickBot="1" x14ac:dyDescent="0.35">
      <c r="A26" s="2"/>
      <c r="B26" s="263" t="s">
        <v>28</v>
      </c>
      <c r="C26" s="264"/>
      <c r="D26" s="264"/>
      <c r="E26" s="264"/>
      <c r="F26" s="264"/>
      <c r="G26" s="264"/>
      <c r="H26" s="265"/>
      <c r="I26" s="40">
        <v>1200000</v>
      </c>
      <c r="J26" s="63">
        <f>ROUND(41*K3,-3)</f>
        <v>1159000</v>
      </c>
      <c r="K26" s="28">
        <v>1159000</v>
      </c>
    </row>
    <row r="27" spans="1:11" ht="15" thickBot="1" x14ac:dyDescent="0.35">
      <c r="A27" s="3"/>
    </row>
    <row r="28" spans="1:11" ht="15" thickBot="1" x14ac:dyDescent="0.35">
      <c r="A28" t="s">
        <v>25</v>
      </c>
      <c r="B28" s="260" t="s">
        <v>144</v>
      </c>
      <c r="C28" s="261"/>
      <c r="D28" s="261"/>
      <c r="E28" s="261"/>
      <c r="F28" s="261"/>
      <c r="G28" s="261"/>
      <c r="H28" s="261"/>
      <c r="I28" s="262"/>
      <c r="J28" s="61" t="s">
        <v>83</v>
      </c>
      <c r="K28" s="62" t="s">
        <v>84</v>
      </c>
    </row>
    <row r="29" spans="1:11" ht="15" thickBot="1" x14ac:dyDescent="0.35">
      <c r="B29" s="266" t="s">
        <v>94</v>
      </c>
      <c r="C29" s="267"/>
      <c r="D29" s="267"/>
      <c r="E29" s="267"/>
      <c r="F29" s="267"/>
      <c r="G29" s="267"/>
      <c r="H29" s="268"/>
      <c r="I29" s="77">
        <v>1423520</v>
      </c>
      <c r="J29" s="78"/>
      <c r="K29" s="79">
        <f>+I29</f>
        <v>1423520</v>
      </c>
    </row>
    <row r="30" spans="1:11" ht="15" thickBot="1" x14ac:dyDescent="0.35">
      <c r="B30" s="277" t="s">
        <v>30</v>
      </c>
      <c r="C30" s="278"/>
      <c r="D30" s="278"/>
      <c r="E30" s="278"/>
      <c r="F30" s="278"/>
      <c r="G30" s="278"/>
      <c r="H30" s="279"/>
      <c r="I30" s="77"/>
      <c r="J30" s="73"/>
      <c r="K30" s="74"/>
    </row>
    <row r="31" spans="1:11" ht="15" thickBot="1" x14ac:dyDescent="0.35">
      <c r="A31" s="3"/>
    </row>
    <row r="32" spans="1:11" ht="15" thickBot="1" x14ac:dyDescent="0.35">
      <c r="A32" s="2" t="s">
        <v>25</v>
      </c>
      <c r="B32" s="260" t="s">
        <v>37</v>
      </c>
      <c r="C32" s="261"/>
      <c r="D32" s="261"/>
      <c r="E32" s="261"/>
      <c r="F32" s="261"/>
      <c r="G32" s="261"/>
      <c r="H32" s="261"/>
      <c r="I32" s="261"/>
      <c r="J32" s="61" t="s">
        <v>83</v>
      </c>
      <c r="K32" s="62" t="s">
        <v>84</v>
      </c>
    </row>
    <row r="33" spans="1:11" x14ac:dyDescent="0.3">
      <c r="A33" s="2"/>
      <c r="B33" s="173" t="s">
        <v>38</v>
      </c>
      <c r="C33" s="174"/>
      <c r="D33" s="174"/>
      <c r="E33" s="174"/>
      <c r="F33" s="174"/>
      <c r="G33" s="174"/>
      <c r="H33" s="175"/>
      <c r="I33" s="41">
        <v>556000</v>
      </c>
      <c r="J33" s="26"/>
      <c r="K33" s="64">
        <f>+I33</f>
        <v>556000</v>
      </c>
    </row>
    <row r="34" spans="1:11" x14ac:dyDescent="0.3">
      <c r="A34" s="2"/>
      <c r="B34" s="173" t="s">
        <v>146</v>
      </c>
      <c r="C34" s="174"/>
      <c r="D34" s="174"/>
      <c r="E34" s="174"/>
      <c r="F34" s="174"/>
      <c r="G34" s="174"/>
      <c r="H34" s="175"/>
      <c r="I34" s="37">
        <v>160000</v>
      </c>
      <c r="J34" s="26"/>
      <c r="K34" s="64">
        <f>+I34</f>
        <v>160000</v>
      </c>
    </row>
    <row r="35" spans="1:11" ht="15" thickBot="1" x14ac:dyDescent="0.35">
      <c r="A35" s="2"/>
      <c r="B35" s="263" t="s">
        <v>147</v>
      </c>
      <c r="C35" s="264"/>
      <c r="D35" s="264"/>
      <c r="E35" s="264"/>
      <c r="F35" s="264"/>
      <c r="G35" s="264"/>
      <c r="H35" s="265"/>
      <c r="I35" s="40"/>
      <c r="J35" s="63"/>
      <c r="K35" s="28"/>
    </row>
    <row r="36" spans="1:11" ht="15" thickBot="1" x14ac:dyDescent="0.35">
      <c r="A36" s="3"/>
      <c r="B36" t="s">
        <v>29</v>
      </c>
    </row>
    <row r="37" spans="1:11" ht="15" thickBot="1" x14ac:dyDescent="0.35">
      <c r="A37" t="s">
        <v>25</v>
      </c>
      <c r="B37" s="260" t="s">
        <v>31</v>
      </c>
      <c r="C37" s="261"/>
      <c r="D37" s="261"/>
      <c r="E37" s="261"/>
      <c r="F37" s="261"/>
      <c r="G37" s="261"/>
      <c r="H37" s="261"/>
      <c r="I37" s="261"/>
      <c r="J37" s="61" t="s">
        <v>83</v>
      </c>
      <c r="K37" s="62" t="s">
        <v>84</v>
      </c>
    </row>
    <row r="38" spans="1:11" x14ac:dyDescent="0.3">
      <c r="B38" s="65" t="s">
        <v>32</v>
      </c>
      <c r="C38" s="66"/>
      <c r="D38" s="66"/>
      <c r="E38" s="66"/>
      <c r="F38" s="66"/>
      <c r="G38" s="66"/>
      <c r="H38" s="66"/>
      <c r="I38" s="256">
        <v>320000</v>
      </c>
      <c r="J38" s="235">
        <f>ROUND(16*K3,-3)</f>
        <v>452000</v>
      </c>
      <c r="K38" s="237">
        <f>+I38</f>
        <v>320000</v>
      </c>
    </row>
    <row r="39" spans="1:11" ht="15" thickBot="1" x14ac:dyDescent="0.35">
      <c r="B39" s="67" t="s">
        <v>33</v>
      </c>
      <c r="C39" s="68"/>
      <c r="D39" s="68"/>
      <c r="E39" s="68"/>
      <c r="F39" s="68"/>
      <c r="G39" s="68"/>
      <c r="H39" s="68"/>
      <c r="I39" s="243"/>
      <c r="J39" s="236"/>
      <c r="K39" s="238"/>
    </row>
    <row r="40" spans="1:11" ht="15" thickBot="1" x14ac:dyDescent="0.35">
      <c r="B40" s="69"/>
      <c r="C40" s="69"/>
      <c r="D40" s="69"/>
      <c r="E40" s="69"/>
      <c r="F40" s="69"/>
      <c r="G40" s="69"/>
      <c r="H40" s="69"/>
      <c r="I40" s="70"/>
      <c r="J40" s="70"/>
      <c r="K40" s="70"/>
    </row>
    <row r="41" spans="1:11" x14ac:dyDescent="0.3">
      <c r="B41" s="239" t="s">
        <v>34</v>
      </c>
      <c r="C41" s="240"/>
      <c r="D41" s="240"/>
      <c r="E41" s="240"/>
      <c r="F41" s="240"/>
      <c r="G41" s="240"/>
      <c r="H41" s="241"/>
      <c r="I41" s="242">
        <v>1500000</v>
      </c>
      <c r="J41" s="71" t="s">
        <v>83</v>
      </c>
      <c r="K41" s="72" t="s">
        <v>84</v>
      </c>
    </row>
    <row r="42" spans="1:11" x14ac:dyDescent="0.3">
      <c r="B42" s="266" t="s">
        <v>35</v>
      </c>
      <c r="C42" s="267"/>
      <c r="D42" s="267"/>
      <c r="E42" s="267"/>
      <c r="F42" s="267"/>
      <c r="G42" s="267"/>
      <c r="H42" s="268"/>
      <c r="I42" s="256"/>
      <c r="J42" s="235">
        <f>ROUND(100*K3,-3)</f>
        <v>2828000</v>
      </c>
      <c r="K42" s="237">
        <f>+I41</f>
        <v>1500000</v>
      </c>
    </row>
    <row r="43" spans="1:11" ht="15" thickBot="1" x14ac:dyDescent="0.35">
      <c r="B43" s="277" t="s">
        <v>36</v>
      </c>
      <c r="C43" s="278"/>
      <c r="D43" s="278"/>
      <c r="E43" s="278"/>
      <c r="F43" s="278"/>
      <c r="G43" s="278"/>
      <c r="H43" s="279"/>
      <c r="I43" s="243"/>
      <c r="J43" s="236"/>
      <c r="K43" s="238"/>
    </row>
    <row r="44" spans="1:11" ht="15" thickBot="1" x14ac:dyDescent="0.35">
      <c r="B44" s="69"/>
      <c r="C44" s="69"/>
      <c r="D44" s="69"/>
      <c r="E44" s="69"/>
      <c r="F44" s="69"/>
      <c r="G44" s="69"/>
      <c r="H44" s="69"/>
      <c r="I44" s="70"/>
      <c r="J44" s="70"/>
      <c r="K44" s="70"/>
    </row>
    <row r="45" spans="1:11" x14ac:dyDescent="0.3">
      <c r="A45" s="7"/>
      <c r="B45" s="239" t="s">
        <v>92</v>
      </c>
      <c r="C45" s="240"/>
      <c r="D45" s="240"/>
      <c r="E45" s="240"/>
      <c r="F45" s="240"/>
      <c r="G45" s="240"/>
      <c r="H45" s="241"/>
      <c r="I45" s="242"/>
      <c r="J45" s="71" t="s">
        <v>83</v>
      </c>
      <c r="K45" s="72" t="s">
        <v>84</v>
      </c>
    </row>
    <row r="46" spans="1:11" ht="15" thickBot="1" x14ac:dyDescent="0.35">
      <c r="A46" s="7"/>
      <c r="B46" s="277" t="s">
        <v>93</v>
      </c>
      <c r="C46" s="278"/>
      <c r="D46" s="278"/>
      <c r="E46" s="278"/>
      <c r="F46" s="278"/>
      <c r="G46" s="278"/>
      <c r="H46" s="279"/>
      <c r="I46" s="243"/>
      <c r="J46" s="73">
        <f>ROUND(32*K3,-3)</f>
        <v>905000</v>
      </c>
      <c r="K46" s="74"/>
    </row>
    <row r="47" spans="1:11" ht="15" thickBot="1" x14ac:dyDescent="0.35">
      <c r="A47" s="3"/>
      <c r="B47" s="69"/>
      <c r="C47" s="69"/>
      <c r="D47" s="69"/>
      <c r="E47" s="69"/>
      <c r="F47" s="69"/>
      <c r="G47" s="69"/>
      <c r="H47" s="69"/>
      <c r="I47" s="70"/>
      <c r="J47" s="70"/>
      <c r="K47" s="70"/>
    </row>
    <row r="48" spans="1:11" ht="15" thickBot="1" x14ac:dyDescent="0.35">
      <c r="A48" s="7"/>
      <c r="B48" s="233" t="s">
        <v>145</v>
      </c>
      <c r="C48" s="234"/>
      <c r="D48" s="234"/>
      <c r="E48" s="234"/>
      <c r="F48" s="234"/>
      <c r="G48" s="234"/>
      <c r="H48" s="234"/>
      <c r="I48" s="75">
        <v>300000</v>
      </c>
      <c r="J48" s="75"/>
      <c r="K48" s="76">
        <v>300000</v>
      </c>
    </row>
    <row r="49" spans="1:11" ht="15" thickBot="1" x14ac:dyDescent="0.35">
      <c r="B49" s="3"/>
      <c r="C49" s="3"/>
      <c r="D49" s="3"/>
      <c r="E49" s="3"/>
      <c r="F49" s="3"/>
      <c r="G49" s="3"/>
      <c r="H49" s="42"/>
      <c r="I49" s="42"/>
    </row>
    <row r="50" spans="1:11" ht="15" thickBot="1" x14ac:dyDescent="0.35">
      <c r="B50" s="226" t="s">
        <v>42</v>
      </c>
      <c r="C50" s="227"/>
      <c r="D50" s="227"/>
      <c r="E50" s="227"/>
      <c r="F50" s="227"/>
      <c r="G50" s="227"/>
      <c r="H50" s="227"/>
      <c r="I50" s="228"/>
      <c r="J50" s="244">
        <f>I20-SUM(K24:K26)-SUM(K29:K30)-SUM(K33:K35)-SUM(K38)-SUM(K42)-SUM(K46)-SUM(K48)</f>
        <v>13934000</v>
      </c>
      <c r="K50" s="245"/>
    </row>
    <row r="51" spans="1:11" ht="15" thickBot="1" x14ac:dyDescent="0.35">
      <c r="B51" s="226" t="s">
        <v>142</v>
      </c>
      <c r="C51" s="227"/>
      <c r="D51" s="227"/>
      <c r="E51" s="227"/>
      <c r="F51" s="227"/>
      <c r="G51" s="227"/>
      <c r="H51" s="227"/>
      <c r="I51" s="228"/>
      <c r="J51" s="244">
        <f>+I17</f>
        <v>2050000</v>
      </c>
      <c r="K51" s="245"/>
    </row>
    <row r="52" spans="1:11" ht="15" thickBot="1" x14ac:dyDescent="0.35">
      <c r="B52" s="226" t="s">
        <v>143</v>
      </c>
      <c r="C52" s="227"/>
      <c r="D52" s="227"/>
      <c r="E52" s="227"/>
      <c r="F52" s="227"/>
      <c r="G52" s="227"/>
      <c r="H52" s="227"/>
      <c r="I52" s="228"/>
      <c r="J52" s="244">
        <f>+J50-J51</f>
        <v>11884000</v>
      </c>
      <c r="K52" s="245"/>
    </row>
    <row r="53" spans="1:11" ht="15" thickBot="1" x14ac:dyDescent="0.35"/>
    <row r="54" spans="1:11" ht="15" thickBot="1" x14ac:dyDescent="0.35">
      <c r="A54" s="7" t="s">
        <v>25</v>
      </c>
      <c r="B54" s="246" t="s">
        <v>39</v>
      </c>
      <c r="C54" s="247"/>
      <c r="D54" s="247"/>
      <c r="E54" s="247"/>
      <c r="F54" s="247"/>
      <c r="G54" s="247"/>
      <c r="H54" s="247"/>
      <c r="I54" s="248"/>
      <c r="J54" s="249">
        <f>J52*0.25</f>
        <v>2971000</v>
      </c>
      <c r="K54" s="250"/>
    </row>
    <row r="55" spans="1:11" ht="15" thickBot="1" x14ac:dyDescent="0.35"/>
    <row r="56" spans="1:11" ht="15" thickBot="1" x14ac:dyDescent="0.35">
      <c r="B56" s="226" t="s">
        <v>124</v>
      </c>
      <c r="C56" s="227"/>
      <c r="D56" s="227"/>
      <c r="E56" s="227"/>
      <c r="F56" s="227"/>
      <c r="G56" s="227"/>
      <c r="H56" s="227"/>
      <c r="I56" s="228"/>
      <c r="J56" s="231">
        <f>+J52-J54</f>
        <v>8913000</v>
      </c>
      <c r="K56" s="232"/>
    </row>
    <row r="57" spans="1:11" ht="15" thickBot="1" x14ac:dyDescent="0.35"/>
    <row r="58" spans="1:11" ht="15" thickBot="1" x14ac:dyDescent="0.35">
      <c r="B58" s="226" t="s">
        <v>135</v>
      </c>
      <c r="C58" s="227"/>
      <c r="D58" s="227"/>
      <c r="E58" s="227"/>
      <c r="F58" s="227"/>
      <c r="G58" s="227"/>
      <c r="H58" s="227"/>
      <c r="I58" s="228"/>
      <c r="J58" s="229">
        <f>+J56/uvtActual</f>
        <v>315.18087626860921</v>
      </c>
      <c r="K58" s="230"/>
    </row>
    <row r="59" spans="1:11" ht="15" thickBot="1" x14ac:dyDescent="0.35">
      <c r="C59" s="53"/>
      <c r="D59" s="54"/>
      <c r="E59" s="54"/>
      <c r="F59" s="54"/>
    </row>
    <row r="60" spans="1:11" ht="15" thickBot="1" x14ac:dyDescent="0.35">
      <c r="C60" s="192" t="s">
        <v>125</v>
      </c>
      <c r="D60" s="193"/>
      <c r="E60" s="193"/>
      <c r="F60" s="194"/>
    </row>
    <row r="61" spans="1:11" x14ac:dyDescent="0.3">
      <c r="C61" s="195" t="s">
        <v>126</v>
      </c>
      <c r="D61" s="195"/>
      <c r="E61" s="196" t="s">
        <v>127</v>
      </c>
      <c r="F61" s="197" t="s">
        <v>137</v>
      </c>
      <c r="G61" s="197"/>
      <c r="H61" s="197"/>
      <c r="I61" s="197"/>
      <c r="J61" s="198" t="s">
        <v>136</v>
      </c>
      <c r="K61" s="198"/>
    </row>
    <row r="62" spans="1:11" x14ac:dyDescent="0.3">
      <c r="C62" s="57" t="s">
        <v>128</v>
      </c>
      <c r="D62" s="57" t="s">
        <v>129</v>
      </c>
      <c r="E62" s="196"/>
      <c r="F62" s="197"/>
      <c r="G62" s="197"/>
      <c r="H62" s="197"/>
      <c r="I62" s="197"/>
      <c r="J62" s="198"/>
      <c r="K62" s="198"/>
    </row>
    <row r="63" spans="1:11" x14ac:dyDescent="0.3">
      <c r="C63" s="58" t="s">
        <v>130</v>
      </c>
      <c r="D63" s="58">
        <v>95</v>
      </c>
      <c r="E63" s="59">
        <v>0</v>
      </c>
      <c r="F63" s="199">
        <v>0</v>
      </c>
      <c r="G63" s="199"/>
      <c r="H63" s="199"/>
      <c r="I63" s="199"/>
      <c r="J63" s="200"/>
      <c r="K63" s="201"/>
    </row>
    <row r="64" spans="1:11" ht="31.2" customHeight="1" x14ac:dyDescent="0.3">
      <c r="C64" s="55">
        <v>95</v>
      </c>
      <c r="D64" s="55">
        <v>150</v>
      </c>
      <c r="E64" s="56">
        <v>0.19</v>
      </c>
      <c r="F64" s="199" t="s">
        <v>131</v>
      </c>
      <c r="G64" s="199"/>
      <c r="H64" s="199"/>
      <c r="I64" s="199"/>
      <c r="J64" s="202"/>
      <c r="K64" s="202"/>
    </row>
    <row r="65" spans="3:11" ht="28.8" customHeight="1" x14ac:dyDescent="0.3">
      <c r="C65" s="55">
        <v>150</v>
      </c>
      <c r="D65" s="55">
        <v>360</v>
      </c>
      <c r="E65" s="56">
        <v>0.28000000000000003</v>
      </c>
      <c r="F65" s="199" t="s">
        <v>132</v>
      </c>
      <c r="G65" s="199"/>
      <c r="H65" s="199"/>
      <c r="I65" s="199"/>
      <c r="J65" s="202">
        <f>(J58-150)*28%+10</f>
        <v>56.250645355210587</v>
      </c>
      <c r="K65" s="202"/>
    </row>
    <row r="66" spans="3:11" x14ac:dyDescent="0.3">
      <c r="C66" s="55">
        <v>360</v>
      </c>
      <c r="D66" s="55" t="s">
        <v>133</v>
      </c>
      <c r="E66" s="56">
        <v>0.33</v>
      </c>
      <c r="F66" s="199" t="s">
        <v>134</v>
      </c>
      <c r="G66" s="199"/>
      <c r="H66" s="199"/>
      <c r="I66" s="199"/>
      <c r="J66" s="202"/>
      <c r="K66" s="202"/>
    </row>
    <row r="67" spans="3:11" x14ac:dyDescent="0.3">
      <c r="C67" s="220" t="s">
        <v>138</v>
      </c>
      <c r="D67" s="220"/>
      <c r="E67" s="220"/>
      <c r="F67" s="220"/>
      <c r="G67" s="220"/>
      <c r="H67" s="220"/>
      <c r="I67" s="220"/>
      <c r="J67" s="221">
        <f>J65*uvtActual</f>
        <v>1590712.0000000002</v>
      </c>
      <c r="K67" s="221"/>
    </row>
    <row r="70" spans="3:11" ht="15" thickBot="1" x14ac:dyDescent="0.35"/>
    <row r="71" spans="3:11" x14ac:dyDescent="0.3">
      <c r="C71" s="203" t="s">
        <v>150</v>
      </c>
      <c r="D71" s="204"/>
      <c r="E71" s="204"/>
      <c r="F71" s="204"/>
      <c r="G71" s="204"/>
      <c r="H71" s="204"/>
      <c r="I71" s="204"/>
      <c r="J71" s="204"/>
      <c r="K71" s="205"/>
    </row>
    <row r="72" spans="3:11" ht="15" thickBot="1" x14ac:dyDescent="0.35">
      <c r="C72" s="206"/>
      <c r="D72" s="207"/>
      <c r="E72" s="207"/>
      <c r="F72" s="207"/>
      <c r="G72" s="207"/>
      <c r="H72" s="207"/>
      <c r="I72" s="207"/>
      <c r="J72" s="207"/>
      <c r="K72" s="208"/>
    </row>
    <row r="73" spans="3:11" x14ac:dyDescent="0.3">
      <c r="C73" s="81"/>
      <c r="D73" s="81"/>
      <c r="E73" s="81"/>
      <c r="F73" s="81"/>
      <c r="G73" s="81"/>
      <c r="H73" s="81"/>
      <c r="I73" s="81"/>
      <c r="J73" s="81"/>
      <c r="K73" s="81"/>
    </row>
    <row r="74" spans="3:11" x14ac:dyDescent="0.3">
      <c r="C74" s="209" t="s">
        <v>151</v>
      </c>
      <c r="D74" s="209"/>
      <c r="E74" s="209"/>
      <c r="F74" s="209"/>
      <c r="G74" s="209"/>
      <c r="H74" s="186">
        <f>+I17</f>
        <v>2050000</v>
      </c>
      <c r="I74" s="187"/>
      <c r="J74" s="81"/>
      <c r="K74" s="81"/>
    </row>
    <row r="75" spans="3:11" x14ac:dyDescent="0.3">
      <c r="C75" s="181" t="s">
        <v>152</v>
      </c>
      <c r="D75" s="182"/>
      <c r="E75" s="182"/>
      <c r="F75" s="182"/>
      <c r="G75" s="183"/>
      <c r="H75" s="186">
        <f>+H74*0.25</f>
        <v>512500</v>
      </c>
      <c r="I75" s="187"/>
      <c r="J75" s="81"/>
      <c r="K75" s="81"/>
    </row>
    <row r="76" spans="3:11" x14ac:dyDescent="0.3">
      <c r="C76" s="181" t="s">
        <v>153</v>
      </c>
      <c r="D76" s="182"/>
      <c r="E76" s="182"/>
      <c r="F76" s="182"/>
      <c r="G76" s="183"/>
      <c r="H76" s="186">
        <f>+H74-H75</f>
        <v>1537500</v>
      </c>
      <c r="I76" s="187"/>
      <c r="J76" s="81"/>
      <c r="K76" s="81"/>
    </row>
    <row r="77" spans="3:11" x14ac:dyDescent="0.3">
      <c r="C77" s="181" t="s">
        <v>155</v>
      </c>
      <c r="D77" s="182"/>
      <c r="E77" s="182"/>
      <c r="F77" s="182"/>
      <c r="G77" s="183"/>
      <c r="H77" s="186">
        <f>+H76/uvtActual</f>
        <v>54.36896637080519</v>
      </c>
      <c r="I77" s="187"/>
      <c r="J77" s="81"/>
      <c r="K77" s="81"/>
    </row>
    <row r="78" spans="3:11" x14ac:dyDescent="0.3">
      <c r="C78" s="181" t="s">
        <v>156</v>
      </c>
      <c r="D78" s="182"/>
      <c r="E78" s="182"/>
      <c r="F78" s="182"/>
      <c r="G78" s="183"/>
      <c r="H78" s="186">
        <f>+H77/uvtActual</f>
        <v>1.9225915474665014E-3</v>
      </c>
      <c r="I78" s="187"/>
      <c r="J78" s="81"/>
      <c r="K78" s="81"/>
    </row>
    <row r="79" spans="3:11" ht="15" thickBot="1" x14ac:dyDescent="0.35">
      <c r="C79" s="81"/>
      <c r="D79" s="81"/>
      <c r="E79" s="81"/>
      <c r="F79" s="81"/>
      <c r="G79" s="81"/>
      <c r="H79" s="81"/>
      <c r="I79" s="81"/>
      <c r="J79" s="81"/>
      <c r="K79" s="81"/>
    </row>
    <row r="80" spans="3:11" ht="15" thickBot="1" x14ac:dyDescent="0.35">
      <c r="C80" s="222" t="s">
        <v>154</v>
      </c>
      <c r="D80" s="222"/>
      <c r="E80" s="222"/>
      <c r="F80" s="222"/>
      <c r="G80" s="222"/>
      <c r="H80" s="184">
        <f>+J54++H75</f>
        <v>3483500</v>
      </c>
      <c r="I80" s="185"/>
      <c r="J80" s="81"/>
      <c r="K80" s="82"/>
    </row>
    <row r="83" spans="3:11" ht="15" thickBot="1" x14ac:dyDescent="0.35"/>
    <row r="84" spans="3:11" ht="15" thickBot="1" x14ac:dyDescent="0.35">
      <c r="C84" s="192" t="s">
        <v>125</v>
      </c>
      <c r="D84" s="193"/>
      <c r="E84" s="193"/>
      <c r="F84" s="194"/>
    </row>
    <row r="85" spans="3:11" x14ac:dyDescent="0.3">
      <c r="C85" s="195" t="s">
        <v>126</v>
      </c>
      <c r="D85" s="195"/>
      <c r="E85" s="196" t="s">
        <v>127</v>
      </c>
      <c r="F85" s="197" t="s">
        <v>137</v>
      </c>
      <c r="G85" s="197"/>
      <c r="H85" s="197"/>
      <c r="I85" s="197"/>
      <c r="J85" s="198" t="s">
        <v>136</v>
      </c>
      <c r="K85" s="198"/>
    </row>
    <row r="86" spans="3:11" x14ac:dyDescent="0.3">
      <c r="C86" s="57" t="s">
        <v>128</v>
      </c>
      <c r="D86" s="57" t="s">
        <v>129</v>
      </c>
      <c r="E86" s="196"/>
      <c r="F86" s="197"/>
      <c r="G86" s="197"/>
      <c r="H86" s="197"/>
      <c r="I86" s="197"/>
      <c r="J86" s="198"/>
      <c r="K86" s="198"/>
    </row>
    <row r="87" spans="3:11" x14ac:dyDescent="0.3">
      <c r="C87" s="58" t="s">
        <v>130</v>
      </c>
      <c r="D87" s="58">
        <v>95</v>
      </c>
      <c r="E87" s="59">
        <v>0</v>
      </c>
      <c r="F87" s="199">
        <v>0</v>
      </c>
      <c r="G87" s="199"/>
      <c r="H87" s="199"/>
      <c r="I87" s="199"/>
      <c r="J87" s="200"/>
      <c r="K87" s="201"/>
    </row>
    <row r="88" spans="3:11" x14ac:dyDescent="0.3">
      <c r="C88" s="55">
        <v>95</v>
      </c>
      <c r="D88" s="55">
        <v>150</v>
      </c>
      <c r="E88" s="56">
        <v>0.19</v>
      </c>
      <c r="F88" s="199" t="s">
        <v>131</v>
      </c>
      <c r="G88" s="199"/>
      <c r="H88" s="199"/>
      <c r="I88" s="199"/>
      <c r="J88" s="202"/>
      <c r="K88" s="202"/>
    </row>
    <row r="89" spans="3:11" x14ac:dyDescent="0.3">
      <c r="C89" s="55">
        <v>150</v>
      </c>
      <c r="D89" s="55">
        <v>360</v>
      </c>
      <c r="E89" s="56">
        <v>0.28000000000000003</v>
      </c>
      <c r="F89" s="199" t="s">
        <v>132</v>
      </c>
      <c r="G89" s="199"/>
      <c r="H89" s="199"/>
      <c r="I89" s="199"/>
      <c r="J89" s="202"/>
      <c r="K89" s="202"/>
    </row>
    <row r="90" spans="3:11" x14ac:dyDescent="0.3">
      <c r="C90" s="55">
        <v>360</v>
      </c>
      <c r="D90" s="55" t="s">
        <v>133</v>
      </c>
      <c r="E90" s="56">
        <v>0.33</v>
      </c>
      <c r="F90" s="199" t="s">
        <v>134</v>
      </c>
      <c r="G90" s="199"/>
      <c r="H90" s="199"/>
      <c r="I90" s="199"/>
      <c r="J90" s="202"/>
      <c r="K90" s="202"/>
    </row>
    <row r="91" spans="3:11" x14ac:dyDescent="0.3">
      <c r="C91" s="220" t="s">
        <v>138</v>
      </c>
      <c r="D91" s="220"/>
      <c r="E91" s="220"/>
      <c r="F91" s="220"/>
      <c r="G91" s="220"/>
      <c r="H91" s="220"/>
      <c r="I91" s="220"/>
      <c r="J91" s="221">
        <f>ROUND(J89*uvtActual,-3)</f>
        <v>0</v>
      </c>
      <c r="K91" s="221"/>
    </row>
    <row r="93" spans="3:11" x14ac:dyDescent="0.3">
      <c r="J93" s="23">
        <f>+I33</f>
        <v>556000</v>
      </c>
    </row>
    <row r="94" spans="3:11" x14ac:dyDescent="0.3">
      <c r="J94" s="23">
        <f>+J93/1.01</f>
        <v>550495.04950495053</v>
      </c>
    </row>
    <row r="95" spans="3:11" ht="15" thickBot="1" x14ac:dyDescent="0.35"/>
    <row r="96" spans="3:11" x14ac:dyDescent="0.3">
      <c r="C96" s="213" t="s">
        <v>141</v>
      </c>
      <c r="D96" s="214"/>
      <c r="E96" s="214"/>
      <c r="F96" s="214"/>
      <c r="G96" s="214"/>
      <c r="H96" s="214"/>
      <c r="I96" s="214"/>
      <c r="J96" s="214"/>
      <c r="K96" s="215"/>
    </row>
    <row r="97" spans="2:11" x14ac:dyDescent="0.3">
      <c r="C97" s="216" t="s">
        <v>12</v>
      </c>
      <c r="D97" s="217"/>
      <c r="E97" s="217"/>
      <c r="F97" s="217"/>
      <c r="G97" s="217"/>
      <c r="H97" s="217"/>
      <c r="I97" s="217"/>
      <c r="J97" s="202">
        <f>+I20</f>
        <v>19714520</v>
      </c>
      <c r="K97" s="210"/>
    </row>
    <row r="98" spans="2:11" x14ac:dyDescent="0.3">
      <c r="C98" s="216" t="s">
        <v>162</v>
      </c>
      <c r="D98" s="217"/>
      <c r="E98" s="217"/>
      <c r="F98" s="217"/>
      <c r="G98" s="217"/>
      <c r="H98" s="217"/>
      <c r="I98" s="217"/>
      <c r="J98" s="202">
        <v>550495</v>
      </c>
      <c r="K98" s="210"/>
    </row>
    <row r="99" spans="2:11" x14ac:dyDescent="0.3">
      <c r="C99" s="216" t="s">
        <v>163</v>
      </c>
      <c r="D99" s="217"/>
      <c r="E99" s="217"/>
      <c r="F99" s="217"/>
      <c r="G99" s="217"/>
      <c r="H99" s="217"/>
      <c r="I99" s="217"/>
      <c r="J99" s="202">
        <v>556000</v>
      </c>
      <c r="K99" s="210"/>
    </row>
    <row r="100" spans="2:11" x14ac:dyDescent="0.3">
      <c r="C100" s="216" t="s">
        <v>148</v>
      </c>
      <c r="D100" s="217"/>
      <c r="E100" s="217"/>
      <c r="F100" s="217"/>
      <c r="G100" s="217"/>
      <c r="H100" s="217"/>
      <c r="I100" s="217"/>
      <c r="J100" s="202"/>
      <c r="K100" s="210"/>
    </row>
    <row r="101" spans="2:11" x14ac:dyDescent="0.3">
      <c r="C101" s="218" t="s">
        <v>139</v>
      </c>
      <c r="D101" s="219"/>
      <c r="E101" s="219"/>
      <c r="F101" s="219"/>
      <c r="G101" s="219"/>
      <c r="H101" s="219"/>
      <c r="I101" s="219"/>
      <c r="J101" s="202">
        <f>+J97-J98-J99</f>
        <v>18608025</v>
      </c>
      <c r="K101" s="210"/>
    </row>
    <row r="102" spans="2:11" x14ac:dyDescent="0.3">
      <c r="C102" s="218" t="s">
        <v>164</v>
      </c>
      <c r="D102" s="219"/>
      <c r="E102" s="219"/>
      <c r="F102" s="219"/>
      <c r="G102" s="219"/>
      <c r="H102" s="219"/>
      <c r="I102" s="219"/>
      <c r="J102" s="211">
        <f>+J101/uvtActual</f>
        <v>658.01566533470066</v>
      </c>
      <c r="K102" s="212"/>
    </row>
    <row r="103" spans="2:11" x14ac:dyDescent="0.3">
      <c r="C103" s="218" t="s">
        <v>165</v>
      </c>
      <c r="D103" s="219"/>
      <c r="E103" s="219"/>
      <c r="F103" s="219"/>
      <c r="G103" s="219"/>
      <c r="H103" s="219"/>
      <c r="I103" s="219"/>
      <c r="J103" s="211">
        <v>59.4</v>
      </c>
      <c r="K103" s="212"/>
    </row>
    <row r="104" spans="2:11" x14ac:dyDescent="0.3">
      <c r="C104" s="223" t="s">
        <v>140</v>
      </c>
      <c r="D104" s="224"/>
      <c r="E104" s="224"/>
      <c r="F104" s="224"/>
      <c r="G104" s="224"/>
      <c r="H104" s="224"/>
      <c r="I104" s="224"/>
      <c r="J104" s="202">
        <f>J103*uvtActual</f>
        <v>1679772.5999999999</v>
      </c>
      <c r="K104" s="210"/>
    </row>
    <row r="105" spans="2:11" ht="15" thickBot="1" x14ac:dyDescent="0.35">
      <c r="B105" s="3"/>
      <c r="C105" s="225"/>
      <c r="D105" s="225"/>
      <c r="E105" s="225"/>
      <c r="F105" s="225"/>
      <c r="G105" s="225"/>
      <c r="H105" s="225"/>
      <c r="I105" s="225"/>
      <c r="J105" s="287"/>
    </row>
    <row r="106" spans="2:11" ht="15" thickBot="1" x14ac:dyDescent="0.35">
      <c r="D106" s="80"/>
      <c r="E106" s="80"/>
      <c r="F106" s="188" t="s">
        <v>149</v>
      </c>
      <c r="G106" s="189"/>
      <c r="H106" s="189"/>
      <c r="I106" s="190"/>
      <c r="J106" s="191">
        <f>ROUND(J104,-3)</f>
        <v>1680000</v>
      </c>
      <c r="K106" s="190"/>
    </row>
    <row r="110" spans="2:11" ht="15" thickBot="1" x14ac:dyDescent="0.35">
      <c r="C110" s="83"/>
      <c r="D110" s="83"/>
      <c r="E110" s="83"/>
      <c r="F110" s="83"/>
      <c r="G110" s="83"/>
    </row>
    <row r="111" spans="2:11" x14ac:dyDescent="0.3">
      <c r="C111" s="176" t="s">
        <v>161</v>
      </c>
      <c r="D111" s="177"/>
      <c r="E111" s="178"/>
      <c r="F111" s="83"/>
      <c r="G111" s="83"/>
    </row>
    <row r="112" spans="2:11" ht="24" x14ac:dyDescent="0.3">
      <c r="C112" s="179" t="s">
        <v>157</v>
      </c>
      <c r="D112" s="180"/>
      <c r="E112" s="84" t="s">
        <v>158</v>
      </c>
      <c r="F112" s="179" t="s">
        <v>159</v>
      </c>
      <c r="G112" s="180"/>
    </row>
    <row r="113" spans="3:7" x14ac:dyDescent="0.3">
      <c r="C113" s="85">
        <v>1</v>
      </c>
      <c r="D113" s="85">
        <v>128.95999900000001</v>
      </c>
      <c r="E113" s="86">
        <v>0</v>
      </c>
      <c r="F113" s="87">
        <v>3646859.8117210004</v>
      </c>
      <c r="G113" s="87"/>
    </row>
    <row r="114" spans="3:7" x14ac:dyDescent="0.3">
      <c r="C114" s="86">
        <v>128.96</v>
      </c>
      <c r="D114" s="86">
        <v>132.36000000000001</v>
      </c>
      <c r="E114" s="86">
        <v>0.09</v>
      </c>
      <c r="F114" s="87">
        <v>3646859.8400000003</v>
      </c>
      <c r="G114" s="87">
        <v>3743008.4400000004</v>
      </c>
    </row>
    <row r="115" spans="3:7" x14ac:dyDescent="0.3">
      <c r="C115" s="86">
        <v>132.36000000000001</v>
      </c>
      <c r="D115" s="86">
        <v>135.75</v>
      </c>
      <c r="E115" s="86">
        <v>0.09</v>
      </c>
      <c r="F115" s="87">
        <v>3743008.4400000004</v>
      </c>
      <c r="G115" s="87">
        <v>3838874.25</v>
      </c>
    </row>
    <row r="116" spans="3:7" x14ac:dyDescent="0.3">
      <c r="C116" s="86">
        <v>135.75</v>
      </c>
      <c r="D116" s="86">
        <v>139.13999999999999</v>
      </c>
      <c r="E116" s="86">
        <v>0.09</v>
      </c>
      <c r="F116" s="87">
        <v>3838874.25</v>
      </c>
      <c r="G116" s="87">
        <v>3934740.0599999996</v>
      </c>
    </row>
    <row r="117" spans="3:7" x14ac:dyDescent="0.3">
      <c r="C117" s="86">
        <v>139.13999999999999</v>
      </c>
      <c r="D117" s="86">
        <v>142.54</v>
      </c>
      <c r="E117" s="86">
        <v>0.09</v>
      </c>
      <c r="F117" s="87">
        <v>3934740.0599999996</v>
      </c>
      <c r="G117" s="87">
        <v>4030888.6599999997</v>
      </c>
    </row>
    <row r="118" spans="3:7" x14ac:dyDescent="0.3">
      <c r="C118" s="86">
        <v>142.54</v>
      </c>
      <c r="D118" s="86">
        <v>145.93</v>
      </c>
      <c r="E118" s="86">
        <v>0.1</v>
      </c>
      <c r="F118" s="87">
        <v>4030888.6599999997</v>
      </c>
      <c r="G118" s="87">
        <v>4126754.47</v>
      </c>
    </row>
    <row r="119" spans="3:7" x14ac:dyDescent="0.3">
      <c r="C119" s="86">
        <v>145.93</v>
      </c>
      <c r="D119" s="86">
        <v>149.32</v>
      </c>
      <c r="E119" s="86">
        <v>0.2</v>
      </c>
      <c r="F119" s="87">
        <v>4126754.47</v>
      </c>
      <c r="G119" s="87">
        <v>4222620.28</v>
      </c>
    </row>
    <row r="120" spans="3:7" x14ac:dyDescent="0.3">
      <c r="C120" s="86">
        <v>149.32</v>
      </c>
      <c r="D120" s="86">
        <v>152.72</v>
      </c>
      <c r="E120" s="86">
        <v>0.2</v>
      </c>
      <c r="F120" s="87">
        <v>4222620.28</v>
      </c>
      <c r="G120" s="87">
        <v>4318768.88</v>
      </c>
    </row>
    <row r="121" spans="3:7" x14ac:dyDescent="0.3">
      <c r="C121" s="86">
        <v>152.72</v>
      </c>
      <c r="D121" s="86">
        <v>156.11000000000001</v>
      </c>
      <c r="E121" s="86">
        <v>0.21</v>
      </c>
      <c r="F121" s="87">
        <v>4318768.88</v>
      </c>
      <c r="G121" s="87">
        <v>4414634.6900000004</v>
      </c>
    </row>
    <row r="122" spans="3:7" x14ac:dyDescent="0.3">
      <c r="C122" s="86">
        <v>156.11000000000001</v>
      </c>
      <c r="D122" s="86">
        <v>159.51</v>
      </c>
      <c r="E122" s="86">
        <v>0.4</v>
      </c>
      <c r="F122" s="87">
        <v>4414634.6900000004</v>
      </c>
      <c r="G122" s="87">
        <v>4510783.29</v>
      </c>
    </row>
    <row r="123" spans="3:7" x14ac:dyDescent="0.3">
      <c r="C123" s="86">
        <v>159.51</v>
      </c>
      <c r="D123" s="86">
        <v>162.9</v>
      </c>
      <c r="E123" s="86">
        <v>0.41</v>
      </c>
      <c r="F123" s="87">
        <v>4510783.29</v>
      </c>
      <c r="G123" s="87">
        <v>4606649.1000000006</v>
      </c>
    </row>
    <row r="124" spans="3:7" x14ac:dyDescent="0.3">
      <c r="C124" s="86">
        <v>162.9</v>
      </c>
      <c r="D124" s="86">
        <v>166.29</v>
      </c>
      <c r="E124" s="86">
        <v>0.41</v>
      </c>
      <c r="F124" s="87">
        <v>4606649.1000000006</v>
      </c>
      <c r="G124" s="87">
        <v>4702514.91</v>
      </c>
    </row>
    <row r="125" spans="3:7" x14ac:dyDescent="0.3">
      <c r="C125" s="86">
        <v>166.29</v>
      </c>
      <c r="D125" s="86">
        <v>169.69</v>
      </c>
      <c r="E125" s="86">
        <v>0.7</v>
      </c>
      <c r="F125" s="87">
        <v>4702514.91</v>
      </c>
      <c r="G125" s="87">
        <v>4798663.51</v>
      </c>
    </row>
    <row r="126" spans="3:7" x14ac:dyDescent="0.3">
      <c r="C126" s="86">
        <v>169.69</v>
      </c>
      <c r="D126" s="86">
        <v>176.47</v>
      </c>
      <c r="E126" s="86">
        <v>0.73</v>
      </c>
      <c r="F126" s="87">
        <v>4798663.51</v>
      </c>
      <c r="G126" s="87">
        <v>4990395.13</v>
      </c>
    </row>
    <row r="127" spans="3:7" x14ac:dyDescent="0.3">
      <c r="C127" s="86">
        <v>176.47</v>
      </c>
      <c r="D127" s="86">
        <v>183.26</v>
      </c>
      <c r="E127" s="86">
        <v>1.1499999999999999</v>
      </c>
      <c r="F127" s="87">
        <v>4990395.13</v>
      </c>
      <c r="G127" s="87">
        <v>5182409.54</v>
      </c>
    </row>
    <row r="128" spans="3:7" x14ac:dyDescent="0.3">
      <c r="C128" s="86">
        <v>183.26</v>
      </c>
      <c r="D128" s="86">
        <v>190.05</v>
      </c>
      <c r="E128" s="86">
        <v>1.19</v>
      </c>
      <c r="F128" s="87">
        <v>5182409.54</v>
      </c>
      <c r="G128" s="87">
        <v>5374423.9500000002</v>
      </c>
    </row>
    <row r="129" spans="3:7" x14ac:dyDescent="0.3">
      <c r="C129" s="86">
        <v>190.05</v>
      </c>
      <c r="D129" s="86">
        <v>196.84</v>
      </c>
      <c r="E129" s="86">
        <v>1.65</v>
      </c>
      <c r="F129" s="87">
        <v>5374423.9500000002</v>
      </c>
      <c r="G129" s="87">
        <v>5566438.3600000003</v>
      </c>
    </row>
    <row r="130" spans="3:7" x14ac:dyDescent="0.3">
      <c r="C130" s="86">
        <v>196.84</v>
      </c>
      <c r="D130" s="86">
        <v>203.62</v>
      </c>
      <c r="E130" s="86">
        <v>2.14</v>
      </c>
      <c r="F130" s="87">
        <v>5566438.3600000003</v>
      </c>
      <c r="G130" s="87">
        <v>5758169.9800000004</v>
      </c>
    </row>
    <row r="131" spans="3:7" x14ac:dyDescent="0.3">
      <c r="C131" s="86">
        <v>203.62</v>
      </c>
      <c r="D131" s="86">
        <v>210.41</v>
      </c>
      <c r="E131" s="86">
        <v>2.21</v>
      </c>
      <c r="F131" s="87">
        <v>5758169.9800000004</v>
      </c>
      <c r="G131" s="87">
        <v>5950184.3899999997</v>
      </c>
    </row>
    <row r="132" spans="3:7" x14ac:dyDescent="0.3">
      <c r="C132" s="86">
        <v>210.41</v>
      </c>
      <c r="D132" s="86">
        <v>217.2</v>
      </c>
      <c r="E132" s="86">
        <v>2.96</v>
      </c>
      <c r="F132" s="87">
        <v>5950184.3899999997</v>
      </c>
      <c r="G132" s="87">
        <v>6142198.7999999998</v>
      </c>
    </row>
    <row r="133" spans="3:7" x14ac:dyDescent="0.3">
      <c r="C133" s="86">
        <v>217.2</v>
      </c>
      <c r="D133" s="86">
        <v>223.99</v>
      </c>
      <c r="E133" s="86">
        <v>3.75</v>
      </c>
      <c r="F133" s="87">
        <v>6142198.7999999998</v>
      </c>
      <c r="G133" s="87">
        <v>6334213.21</v>
      </c>
    </row>
    <row r="134" spans="3:7" x14ac:dyDescent="0.3">
      <c r="C134" s="86">
        <v>223.99</v>
      </c>
      <c r="D134" s="86">
        <v>230.77</v>
      </c>
      <c r="E134" s="86">
        <v>3.87</v>
      </c>
      <c r="F134" s="87">
        <v>6334213.21</v>
      </c>
      <c r="G134" s="87">
        <v>6525944.8300000001</v>
      </c>
    </row>
    <row r="135" spans="3:7" x14ac:dyDescent="0.3">
      <c r="C135" s="86">
        <v>230.77</v>
      </c>
      <c r="D135" s="86">
        <v>237.56</v>
      </c>
      <c r="E135" s="86">
        <v>4.63</v>
      </c>
      <c r="F135" s="87">
        <v>6525944.8300000001</v>
      </c>
      <c r="G135" s="87">
        <v>6717959.2400000002</v>
      </c>
    </row>
    <row r="136" spans="3:7" x14ac:dyDescent="0.3">
      <c r="C136" s="86">
        <v>237.56</v>
      </c>
      <c r="D136" s="86">
        <v>244.35</v>
      </c>
      <c r="E136" s="86">
        <v>5.0599999999999996</v>
      </c>
      <c r="F136" s="87">
        <v>6717959.2400000002</v>
      </c>
      <c r="G136" s="87">
        <v>6909973.6499999994</v>
      </c>
    </row>
    <row r="137" spans="3:7" x14ac:dyDescent="0.3">
      <c r="C137" s="86">
        <v>244.35</v>
      </c>
      <c r="D137" s="86">
        <v>251.14</v>
      </c>
      <c r="E137" s="86">
        <v>5.5</v>
      </c>
      <c r="F137" s="87">
        <v>6909973.6499999994</v>
      </c>
      <c r="G137" s="87">
        <v>7101988.0599999996</v>
      </c>
    </row>
    <row r="138" spans="3:7" x14ac:dyDescent="0.3">
      <c r="C138" s="86">
        <v>251.14</v>
      </c>
      <c r="D138" s="86">
        <v>257.92</v>
      </c>
      <c r="E138" s="86">
        <v>5.96</v>
      </c>
      <c r="F138" s="87">
        <v>7101988.0599999996</v>
      </c>
      <c r="G138" s="87">
        <v>7293719.6800000006</v>
      </c>
    </row>
    <row r="139" spans="3:7" x14ac:dyDescent="0.3">
      <c r="C139" s="86">
        <v>257.92</v>
      </c>
      <c r="D139" s="86">
        <v>264.70999999999998</v>
      </c>
      <c r="E139" s="86">
        <v>6.44</v>
      </c>
      <c r="F139" s="87">
        <v>7293719.6800000006</v>
      </c>
      <c r="G139" s="87">
        <v>7485734.0899999999</v>
      </c>
    </row>
    <row r="140" spans="3:7" x14ac:dyDescent="0.3">
      <c r="C140" s="86">
        <v>264.70999999999998</v>
      </c>
      <c r="D140" s="86">
        <v>271.5</v>
      </c>
      <c r="E140" s="86">
        <v>6.93</v>
      </c>
      <c r="F140" s="87">
        <v>7485734.0899999999</v>
      </c>
      <c r="G140" s="87">
        <v>7677748.5</v>
      </c>
    </row>
    <row r="141" spans="3:7" x14ac:dyDescent="0.3">
      <c r="C141" s="86">
        <v>271.5</v>
      </c>
      <c r="D141" s="86">
        <v>278.29000000000002</v>
      </c>
      <c r="E141" s="86">
        <v>7.44</v>
      </c>
      <c r="F141" s="87">
        <v>7677748.5</v>
      </c>
      <c r="G141" s="87">
        <v>7869762.9100000001</v>
      </c>
    </row>
    <row r="142" spans="3:7" x14ac:dyDescent="0.3">
      <c r="C142" s="86">
        <v>278.29000000000002</v>
      </c>
      <c r="D142" s="86">
        <v>285.07</v>
      </c>
      <c r="E142" s="86">
        <v>7.96</v>
      </c>
      <c r="F142" s="87">
        <v>7869762.9100000001</v>
      </c>
      <c r="G142" s="87">
        <v>8061494.5300000003</v>
      </c>
    </row>
    <row r="143" spans="3:7" x14ac:dyDescent="0.3">
      <c r="C143" s="86">
        <v>285.07</v>
      </c>
      <c r="D143" s="86">
        <v>291.86</v>
      </c>
      <c r="E143" s="86">
        <v>8.5</v>
      </c>
      <c r="F143" s="87">
        <v>8061494.5300000003</v>
      </c>
      <c r="G143" s="87">
        <v>8253508.9400000004</v>
      </c>
    </row>
    <row r="144" spans="3:7" x14ac:dyDescent="0.3">
      <c r="C144" s="86">
        <v>291.86</v>
      </c>
      <c r="D144" s="86">
        <v>298.64999999999998</v>
      </c>
      <c r="E144" s="86">
        <v>9.0500000000000007</v>
      </c>
      <c r="F144" s="87">
        <v>8253508.9400000004</v>
      </c>
      <c r="G144" s="87">
        <v>8445523.3499999996</v>
      </c>
    </row>
    <row r="145" spans="3:7" x14ac:dyDescent="0.3">
      <c r="C145" s="86">
        <v>298.64999999999998</v>
      </c>
      <c r="D145" s="86">
        <v>305.44</v>
      </c>
      <c r="E145" s="86">
        <v>9.6199999999999992</v>
      </c>
      <c r="F145" s="87">
        <v>8445523.3499999996</v>
      </c>
      <c r="G145" s="87">
        <v>8637537.7599999998</v>
      </c>
    </row>
    <row r="146" spans="3:7" x14ac:dyDescent="0.3">
      <c r="C146" s="86">
        <v>305.44</v>
      </c>
      <c r="D146" s="86">
        <v>312.22000000000003</v>
      </c>
      <c r="E146" s="86">
        <v>10.210000000000001</v>
      </c>
      <c r="F146" s="87">
        <v>8637537.7599999998</v>
      </c>
      <c r="G146" s="87">
        <v>8829269.3800000008</v>
      </c>
    </row>
    <row r="147" spans="3:7" x14ac:dyDescent="0.3">
      <c r="C147" s="86">
        <v>312.22000000000003</v>
      </c>
      <c r="D147" s="86">
        <v>319.01</v>
      </c>
      <c r="E147" s="86">
        <v>10.81</v>
      </c>
      <c r="F147" s="87">
        <v>8829269.3800000008</v>
      </c>
      <c r="G147" s="87">
        <v>9021283.7899999991</v>
      </c>
    </row>
    <row r="148" spans="3:7" x14ac:dyDescent="0.3">
      <c r="C148" s="86">
        <v>319.01</v>
      </c>
      <c r="D148" s="86">
        <v>325.8</v>
      </c>
      <c r="E148" s="86">
        <v>11.43</v>
      </c>
      <c r="F148" s="87">
        <v>9021283.7899999991</v>
      </c>
      <c r="G148" s="87">
        <v>9213298.2000000011</v>
      </c>
    </row>
    <row r="149" spans="3:7" x14ac:dyDescent="0.3">
      <c r="C149" s="86">
        <v>325.8</v>
      </c>
      <c r="D149" s="86">
        <v>332.59</v>
      </c>
      <c r="E149" s="86">
        <v>12.07</v>
      </c>
      <c r="F149" s="87">
        <v>9213298.2000000011</v>
      </c>
      <c r="G149" s="87">
        <v>9405312.6099999994</v>
      </c>
    </row>
    <row r="150" spans="3:7" x14ac:dyDescent="0.3">
      <c r="C150" s="86">
        <v>332.59</v>
      </c>
      <c r="D150" s="86">
        <v>339.37</v>
      </c>
      <c r="E150" s="86">
        <v>12.71</v>
      </c>
      <c r="F150" s="87">
        <v>9405312.6099999994</v>
      </c>
      <c r="G150" s="87">
        <v>9597044.2300000004</v>
      </c>
    </row>
    <row r="151" spans="3:7" x14ac:dyDescent="0.3">
      <c r="C151" s="86">
        <v>339.37</v>
      </c>
      <c r="D151" s="86">
        <v>356.34</v>
      </c>
      <c r="E151" s="86">
        <v>14.06</v>
      </c>
      <c r="F151" s="87">
        <v>9597044.2300000004</v>
      </c>
      <c r="G151" s="87">
        <v>10076938.859999999</v>
      </c>
    </row>
    <row r="152" spans="3:7" x14ac:dyDescent="0.3">
      <c r="C152" s="86">
        <v>356.34</v>
      </c>
      <c r="D152" s="86">
        <v>373.31</v>
      </c>
      <c r="E152" s="86">
        <v>15.83</v>
      </c>
      <c r="F152" s="87">
        <v>10076938.859999999</v>
      </c>
      <c r="G152" s="87">
        <v>10556833.49</v>
      </c>
    </row>
    <row r="153" spans="3:7" x14ac:dyDescent="0.3">
      <c r="C153" s="86">
        <v>373.31</v>
      </c>
      <c r="D153" s="86">
        <v>390.28</v>
      </c>
      <c r="E153" s="86">
        <v>17.690000000000001</v>
      </c>
      <c r="F153" s="87">
        <v>10556833.49</v>
      </c>
      <c r="G153" s="87">
        <v>11036728.119999999</v>
      </c>
    </row>
    <row r="154" spans="3:7" x14ac:dyDescent="0.3">
      <c r="C154" s="86">
        <v>390.28</v>
      </c>
      <c r="D154" s="86">
        <v>407.25</v>
      </c>
      <c r="E154" s="86">
        <v>19.649999999999999</v>
      </c>
      <c r="F154" s="87">
        <v>11036728.119999999</v>
      </c>
      <c r="G154" s="87">
        <v>11516622.75</v>
      </c>
    </row>
    <row r="155" spans="3:7" x14ac:dyDescent="0.3">
      <c r="C155" s="86">
        <v>407.25</v>
      </c>
      <c r="D155" s="86">
        <v>424.22</v>
      </c>
      <c r="E155" s="86">
        <v>21.69</v>
      </c>
      <c r="F155" s="87">
        <v>11516622.75</v>
      </c>
      <c r="G155" s="87">
        <v>11996517.380000001</v>
      </c>
    </row>
    <row r="156" spans="3:7" x14ac:dyDescent="0.3">
      <c r="C156" s="86">
        <v>424.22</v>
      </c>
      <c r="D156" s="86">
        <v>441.19</v>
      </c>
      <c r="E156" s="86">
        <v>23.84</v>
      </c>
      <c r="F156" s="87">
        <v>11996517.380000001</v>
      </c>
      <c r="G156" s="87">
        <v>12476412.01</v>
      </c>
    </row>
    <row r="157" spans="3:7" x14ac:dyDescent="0.3">
      <c r="C157" s="86">
        <v>441.19</v>
      </c>
      <c r="D157" s="86">
        <v>458.16</v>
      </c>
      <c r="E157" s="86">
        <v>26.07</v>
      </c>
      <c r="F157" s="87">
        <v>12476412.01</v>
      </c>
      <c r="G157" s="87">
        <v>12956306.640000001</v>
      </c>
    </row>
    <row r="158" spans="3:7" x14ac:dyDescent="0.3">
      <c r="C158" s="86">
        <v>458.16</v>
      </c>
      <c r="D158" s="86">
        <v>475.12</v>
      </c>
      <c r="E158" s="86">
        <v>28.39</v>
      </c>
      <c r="F158" s="87">
        <v>12956306.640000001</v>
      </c>
      <c r="G158" s="87">
        <v>13435918.48</v>
      </c>
    </row>
    <row r="159" spans="3:7" x14ac:dyDescent="0.3">
      <c r="C159" s="86">
        <v>475.12</v>
      </c>
      <c r="D159" s="86">
        <v>492.09</v>
      </c>
      <c r="E159" s="86">
        <v>30.8</v>
      </c>
      <c r="F159" s="87">
        <v>13435918.48</v>
      </c>
      <c r="G159" s="87">
        <v>13915813.109999999</v>
      </c>
    </row>
    <row r="160" spans="3:7" x14ac:dyDescent="0.3">
      <c r="C160" s="86">
        <v>492.09</v>
      </c>
      <c r="D160" s="86">
        <v>509.06</v>
      </c>
      <c r="E160" s="86">
        <v>33.29</v>
      </c>
      <c r="F160" s="87">
        <v>13915813.109999999</v>
      </c>
      <c r="G160" s="87">
        <v>14395707.74</v>
      </c>
    </row>
    <row r="161" spans="3:7" x14ac:dyDescent="0.3">
      <c r="C161" s="86">
        <v>509.06</v>
      </c>
      <c r="D161" s="86">
        <v>526.03</v>
      </c>
      <c r="E161" s="86">
        <v>35.869999999999997</v>
      </c>
      <c r="F161" s="87">
        <v>14395707.74</v>
      </c>
      <c r="G161" s="87">
        <v>14875602.369999999</v>
      </c>
    </row>
    <row r="162" spans="3:7" x14ac:dyDescent="0.3">
      <c r="C162" s="86">
        <v>526.03</v>
      </c>
      <c r="D162" s="86">
        <v>543</v>
      </c>
      <c r="E162" s="86">
        <v>38.54</v>
      </c>
      <c r="F162" s="87">
        <v>14875602.369999999</v>
      </c>
      <c r="G162" s="87">
        <v>15355497</v>
      </c>
    </row>
    <row r="163" spans="3:7" x14ac:dyDescent="0.3">
      <c r="C163" s="86">
        <v>543</v>
      </c>
      <c r="D163" s="86">
        <v>559.97</v>
      </c>
      <c r="E163" s="86">
        <v>41.29</v>
      </c>
      <c r="F163" s="87">
        <v>15355497</v>
      </c>
      <c r="G163" s="87">
        <v>15835391.630000001</v>
      </c>
    </row>
    <row r="164" spans="3:7" x14ac:dyDescent="0.3">
      <c r="C164" s="86">
        <v>559.97</v>
      </c>
      <c r="D164" s="86">
        <v>576.94000000000005</v>
      </c>
      <c r="E164" s="86">
        <v>44.11</v>
      </c>
      <c r="F164" s="87">
        <v>15835391.630000001</v>
      </c>
      <c r="G164" s="87">
        <v>16315286.260000002</v>
      </c>
    </row>
    <row r="165" spans="3:7" x14ac:dyDescent="0.3">
      <c r="C165" s="86">
        <v>576.94000000000005</v>
      </c>
      <c r="D165" s="86">
        <v>593.9</v>
      </c>
      <c r="E165" s="86">
        <v>47.02</v>
      </c>
      <c r="F165" s="87">
        <v>16315286.260000002</v>
      </c>
      <c r="G165" s="87">
        <v>16794898.099999998</v>
      </c>
    </row>
    <row r="166" spans="3:7" x14ac:dyDescent="0.3">
      <c r="C166" s="86">
        <v>593.9</v>
      </c>
      <c r="D166" s="86">
        <v>610.87</v>
      </c>
      <c r="E166" s="86">
        <v>50</v>
      </c>
      <c r="F166" s="87">
        <v>16794898.099999998</v>
      </c>
      <c r="G166" s="87">
        <v>17274792.73</v>
      </c>
    </row>
    <row r="167" spans="3:7" x14ac:dyDescent="0.3">
      <c r="C167" s="86">
        <v>610.87</v>
      </c>
      <c r="D167" s="86">
        <v>627.84</v>
      </c>
      <c r="E167" s="86">
        <v>53.06</v>
      </c>
      <c r="F167" s="87">
        <v>17274792.73</v>
      </c>
      <c r="G167" s="87">
        <v>17754687.359999999</v>
      </c>
    </row>
    <row r="168" spans="3:7" x14ac:dyDescent="0.3">
      <c r="C168" s="86">
        <v>627.84</v>
      </c>
      <c r="D168" s="86">
        <v>644.80999999999995</v>
      </c>
      <c r="E168" s="86">
        <v>56.2</v>
      </c>
      <c r="F168" s="87">
        <v>17754687.359999999</v>
      </c>
      <c r="G168" s="87">
        <v>18234581.989999998</v>
      </c>
    </row>
    <row r="169" spans="3:7" x14ac:dyDescent="0.3">
      <c r="C169" s="89">
        <v>644.80999999999995</v>
      </c>
      <c r="D169" s="89">
        <v>661.78</v>
      </c>
      <c r="E169" s="86">
        <v>59.4</v>
      </c>
      <c r="F169" s="87">
        <v>18234581.989999998</v>
      </c>
      <c r="G169" s="87">
        <v>18714476.620000001</v>
      </c>
    </row>
    <row r="170" spans="3:7" x14ac:dyDescent="0.3">
      <c r="C170" s="86">
        <v>661.78</v>
      </c>
      <c r="D170" s="86">
        <v>678.75</v>
      </c>
      <c r="E170" s="86">
        <v>62.68</v>
      </c>
      <c r="F170" s="87">
        <v>18714476.620000001</v>
      </c>
      <c r="G170" s="87">
        <v>19194371.25</v>
      </c>
    </row>
    <row r="171" spans="3:7" x14ac:dyDescent="0.3">
      <c r="C171" s="86">
        <v>678.75</v>
      </c>
      <c r="D171" s="86">
        <v>695.72</v>
      </c>
      <c r="E171" s="86">
        <v>66.02</v>
      </c>
      <c r="F171" s="87">
        <v>19194371.25</v>
      </c>
      <c r="G171" s="87">
        <v>19674265.879999999</v>
      </c>
    </row>
    <row r="172" spans="3:7" x14ac:dyDescent="0.3">
      <c r="C172" s="86">
        <v>695.72</v>
      </c>
      <c r="D172" s="86">
        <v>712.69</v>
      </c>
      <c r="E172" s="86">
        <v>69.430000000000007</v>
      </c>
      <c r="F172" s="87">
        <v>19674265.879999999</v>
      </c>
      <c r="G172" s="87">
        <v>20154160.510000002</v>
      </c>
    </row>
    <row r="173" spans="3:7" x14ac:dyDescent="0.3">
      <c r="C173" s="86">
        <v>712.69</v>
      </c>
      <c r="D173" s="86">
        <v>729.65</v>
      </c>
      <c r="E173" s="86">
        <v>72.900000000000006</v>
      </c>
      <c r="F173" s="87">
        <v>20154160.510000002</v>
      </c>
      <c r="G173" s="87">
        <v>20633772.349999998</v>
      </c>
    </row>
    <row r="174" spans="3:7" x14ac:dyDescent="0.3">
      <c r="C174" s="86">
        <v>729.65</v>
      </c>
      <c r="D174" s="86">
        <v>746.62</v>
      </c>
      <c r="E174" s="86">
        <v>76.430000000000007</v>
      </c>
      <c r="F174" s="87">
        <v>20633772.349999998</v>
      </c>
      <c r="G174" s="87">
        <v>21113666.98</v>
      </c>
    </row>
    <row r="175" spans="3:7" x14ac:dyDescent="0.3">
      <c r="C175" s="86">
        <v>746.62</v>
      </c>
      <c r="D175" s="86">
        <v>763.59</v>
      </c>
      <c r="E175" s="86">
        <v>80.03</v>
      </c>
      <c r="F175" s="87">
        <v>21113666.98</v>
      </c>
      <c r="G175" s="87">
        <v>21593561.609999999</v>
      </c>
    </row>
    <row r="176" spans="3:7" x14ac:dyDescent="0.3">
      <c r="C176" s="86">
        <v>763.59</v>
      </c>
      <c r="D176" s="86">
        <v>780.56</v>
      </c>
      <c r="E176" s="86">
        <v>83.68</v>
      </c>
      <c r="F176" s="87">
        <v>21593561.609999999</v>
      </c>
      <c r="G176" s="87">
        <v>22073456.239999998</v>
      </c>
    </row>
    <row r="177" spans="3:7" x14ac:dyDescent="0.3">
      <c r="C177" s="86">
        <v>780.56</v>
      </c>
      <c r="D177" s="86">
        <v>797.53</v>
      </c>
      <c r="E177" s="86">
        <v>87.39</v>
      </c>
      <c r="F177" s="87">
        <v>22073456.239999998</v>
      </c>
      <c r="G177" s="87">
        <v>22553350.870000001</v>
      </c>
    </row>
    <row r="178" spans="3:7" x14ac:dyDescent="0.3">
      <c r="C178" s="86">
        <v>797.53</v>
      </c>
      <c r="D178" s="86">
        <v>814.5</v>
      </c>
      <c r="E178" s="86">
        <v>91.15</v>
      </c>
      <c r="F178" s="87">
        <v>22553350.870000001</v>
      </c>
      <c r="G178" s="87">
        <v>23033245.5</v>
      </c>
    </row>
    <row r="179" spans="3:7" x14ac:dyDescent="0.3">
      <c r="C179" s="86">
        <v>814.5</v>
      </c>
      <c r="D179" s="86">
        <v>831.47</v>
      </c>
      <c r="E179" s="86">
        <v>94.96</v>
      </c>
      <c r="F179" s="87">
        <v>23033245.5</v>
      </c>
      <c r="G179" s="87">
        <v>23513140.129999999</v>
      </c>
    </row>
    <row r="180" spans="3:7" x14ac:dyDescent="0.3">
      <c r="C180" s="86">
        <v>831.47</v>
      </c>
      <c r="D180" s="86">
        <v>848.44</v>
      </c>
      <c r="E180" s="86">
        <v>98.81</v>
      </c>
      <c r="F180" s="87">
        <v>23513140.129999999</v>
      </c>
      <c r="G180" s="87">
        <v>23993034.760000002</v>
      </c>
    </row>
    <row r="181" spans="3:7" x14ac:dyDescent="0.3">
      <c r="C181" s="86">
        <v>848.44</v>
      </c>
      <c r="D181" s="86">
        <v>865.4</v>
      </c>
      <c r="E181" s="86">
        <v>102.72</v>
      </c>
      <c r="F181" s="87">
        <v>23993034.760000002</v>
      </c>
      <c r="G181" s="87">
        <v>24472646.599999998</v>
      </c>
    </row>
    <row r="182" spans="3:7" x14ac:dyDescent="0.3">
      <c r="C182" s="86">
        <v>865.4</v>
      </c>
      <c r="D182" s="86">
        <v>882.37</v>
      </c>
      <c r="E182" s="86">
        <v>106.67</v>
      </c>
      <c r="F182" s="87">
        <v>24472646.599999998</v>
      </c>
      <c r="G182" s="87">
        <v>24952541.23</v>
      </c>
    </row>
    <row r="183" spans="3:7" x14ac:dyDescent="0.3">
      <c r="C183" s="86">
        <v>882.37</v>
      </c>
      <c r="D183" s="86">
        <v>899.34</v>
      </c>
      <c r="E183" s="86">
        <v>110.65</v>
      </c>
      <c r="F183" s="87">
        <v>24952541.23</v>
      </c>
      <c r="G183" s="87">
        <v>25432435.859999999</v>
      </c>
    </row>
    <row r="184" spans="3:7" x14ac:dyDescent="0.3">
      <c r="C184" s="86">
        <v>899.34</v>
      </c>
      <c r="D184" s="86">
        <v>916.31</v>
      </c>
      <c r="E184" s="86">
        <v>114.68</v>
      </c>
      <c r="F184" s="87">
        <v>25432435.859999999</v>
      </c>
      <c r="G184" s="87">
        <v>25912330.489999998</v>
      </c>
    </row>
    <row r="185" spans="3:7" x14ac:dyDescent="0.3">
      <c r="C185" s="86">
        <v>916.31</v>
      </c>
      <c r="D185" s="86">
        <v>933.28</v>
      </c>
      <c r="E185" s="86">
        <v>118.74</v>
      </c>
      <c r="F185" s="87">
        <v>25912330.489999998</v>
      </c>
      <c r="G185" s="87">
        <v>26392225.120000001</v>
      </c>
    </row>
    <row r="186" spans="3:7" x14ac:dyDescent="0.3">
      <c r="C186" s="86">
        <v>933.28</v>
      </c>
      <c r="D186" s="86">
        <v>950.25</v>
      </c>
      <c r="E186" s="86">
        <v>122.84</v>
      </c>
      <c r="F186" s="87">
        <v>26392225.120000001</v>
      </c>
      <c r="G186" s="87">
        <v>26872119.75</v>
      </c>
    </row>
    <row r="187" spans="3:7" x14ac:dyDescent="0.3">
      <c r="C187" s="86">
        <v>950.25</v>
      </c>
      <c r="D187" s="86">
        <v>967.22</v>
      </c>
      <c r="E187" s="86">
        <v>126.96</v>
      </c>
      <c r="F187" s="87">
        <v>26872119.75</v>
      </c>
      <c r="G187" s="87">
        <v>27352014.379999999</v>
      </c>
    </row>
    <row r="188" spans="3:7" x14ac:dyDescent="0.3">
      <c r="C188" s="86">
        <v>967.22</v>
      </c>
      <c r="D188" s="86">
        <v>984.19</v>
      </c>
      <c r="E188" s="86">
        <v>131.11000000000001</v>
      </c>
      <c r="F188" s="87">
        <v>27352014.379999999</v>
      </c>
      <c r="G188" s="87">
        <v>27831909.010000002</v>
      </c>
    </row>
    <row r="189" spans="3:7" x14ac:dyDescent="0.3">
      <c r="C189" s="86">
        <v>984.19</v>
      </c>
      <c r="D189" s="86">
        <v>1001.15</v>
      </c>
      <c r="E189" s="86">
        <v>135.29</v>
      </c>
      <c r="F189" s="87">
        <v>27831909.010000002</v>
      </c>
      <c r="G189" s="87">
        <v>28311520.849999998</v>
      </c>
    </row>
    <row r="190" spans="3:7" x14ac:dyDescent="0.3">
      <c r="C190" s="86">
        <v>1001.15</v>
      </c>
      <c r="D190" s="86">
        <v>1018.12</v>
      </c>
      <c r="E190" s="86">
        <v>139.49</v>
      </c>
      <c r="F190" s="87">
        <v>28311520.849999998</v>
      </c>
      <c r="G190" s="87">
        <v>28791415.48</v>
      </c>
    </row>
    <row r="191" spans="3:7" x14ac:dyDescent="0.3">
      <c r="C191" s="86">
        <v>1018.12</v>
      </c>
      <c r="D191" s="86">
        <v>1035.0899999999999</v>
      </c>
      <c r="E191" s="86">
        <v>143.71</v>
      </c>
      <c r="F191" s="87">
        <v>28791415.48</v>
      </c>
      <c r="G191" s="87">
        <v>29271310.109999999</v>
      </c>
    </row>
    <row r="192" spans="3:7" x14ac:dyDescent="0.3">
      <c r="C192" s="86">
        <v>1035.0899999999999</v>
      </c>
      <c r="D192" s="86">
        <v>1052.06</v>
      </c>
      <c r="E192" s="86">
        <v>147.94</v>
      </c>
      <c r="F192" s="87">
        <v>29271310.109999999</v>
      </c>
      <c r="G192" s="87">
        <v>29751204.739999998</v>
      </c>
    </row>
    <row r="193" spans="3:7" x14ac:dyDescent="0.3">
      <c r="C193" s="86">
        <v>1052.06</v>
      </c>
      <c r="D193" s="86">
        <v>1069.03</v>
      </c>
      <c r="E193" s="86">
        <v>152.19</v>
      </c>
      <c r="F193" s="87">
        <v>29751204.739999998</v>
      </c>
      <c r="G193" s="87">
        <v>30231099.370000001</v>
      </c>
    </row>
    <row r="194" spans="3:7" x14ac:dyDescent="0.3">
      <c r="C194" s="86">
        <v>1069.03</v>
      </c>
      <c r="D194" s="86">
        <v>1086</v>
      </c>
      <c r="E194" s="86">
        <v>156.44999999999999</v>
      </c>
      <c r="F194" s="87">
        <v>30231099.370000001</v>
      </c>
      <c r="G194" s="87">
        <v>30710994</v>
      </c>
    </row>
    <row r="195" spans="3:7" x14ac:dyDescent="0.3">
      <c r="C195" s="86">
        <v>1086</v>
      </c>
      <c r="D195" s="86">
        <v>1102.97</v>
      </c>
      <c r="E195" s="86">
        <v>160.72</v>
      </c>
      <c r="F195" s="87">
        <v>30710994</v>
      </c>
      <c r="G195" s="87">
        <v>31190888.629999999</v>
      </c>
    </row>
    <row r="196" spans="3:7" x14ac:dyDescent="0.3">
      <c r="C196" s="86">
        <v>1102.97</v>
      </c>
      <c r="D196" s="86">
        <v>1119.93</v>
      </c>
      <c r="E196" s="86">
        <v>164.99</v>
      </c>
      <c r="F196" s="87">
        <v>31190888.629999999</v>
      </c>
      <c r="G196" s="87">
        <v>31670500.470000003</v>
      </c>
    </row>
    <row r="197" spans="3:7" x14ac:dyDescent="0.3">
      <c r="C197" s="86">
        <v>1119.93</v>
      </c>
      <c r="D197" s="86">
        <v>1136.92</v>
      </c>
      <c r="E197" s="86">
        <v>169.26</v>
      </c>
      <c r="F197" s="87">
        <v>31670500.470000003</v>
      </c>
      <c r="G197" s="87">
        <v>32151243.470000003</v>
      </c>
    </row>
    <row r="198" spans="3:7" x14ac:dyDescent="0.3">
      <c r="C198" s="86">
        <v>1136.93</v>
      </c>
      <c r="D198" s="88">
        <v>9999999999</v>
      </c>
      <c r="E198" s="88" t="s">
        <v>160</v>
      </c>
      <c r="F198" s="87">
        <v>32151243.470000003</v>
      </c>
      <c r="G198" s="87">
        <v>999999999</v>
      </c>
    </row>
  </sheetData>
  <mergeCells count="110">
    <mergeCell ref="A2:I2"/>
    <mergeCell ref="A1:I1"/>
    <mergeCell ref="A3:H3"/>
    <mergeCell ref="I38:I39"/>
    <mergeCell ref="I41:I43"/>
    <mergeCell ref="B21:H21"/>
    <mergeCell ref="B28:I28"/>
    <mergeCell ref="B24:H24"/>
    <mergeCell ref="B26:H26"/>
    <mergeCell ref="B29:H29"/>
    <mergeCell ref="B33:H33"/>
    <mergeCell ref="B34:H34"/>
    <mergeCell ref="B35:H35"/>
    <mergeCell ref="B23:I23"/>
    <mergeCell ref="B4:I4"/>
    <mergeCell ref="A4:A21"/>
    <mergeCell ref="B32:I32"/>
    <mergeCell ref="B37:I37"/>
    <mergeCell ref="B41:H41"/>
    <mergeCell ref="B42:H42"/>
    <mergeCell ref="B43:H43"/>
    <mergeCell ref="B20:H20"/>
    <mergeCell ref="B25:H25"/>
    <mergeCell ref="B30:H30"/>
    <mergeCell ref="B56:I56"/>
    <mergeCell ref="J56:K56"/>
    <mergeCell ref="B48:H48"/>
    <mergeCell ref="J38:J39"/>
    <mergeCell ref="K38:K39"/>
    <mergeCell ref="J42:J43"/>
    <mergeCell ref="K42:K43"/>
    <mergeCell ref="B45:H45"/>
    <mergeCell ref="I45:I46"/>
    <mergeCell ref="B50:I50"/>
    <mergeCell ref="J50:K50"/>
    <mergeCell ref="B54:I54"/>
    <mergeCell ref="J54:K54"/>
    <mergeCell ref="B52:I52"/>
    <mergeCell ref="J52:K52"/>
    <mergeCell ref="B51:I51"/>
    <mergeCell ref="J51:K51"/>
    <mergeCell ref="B46:H46"/>
    <mergeCell ref="J66:K66"/>
    <mergeCell ref="B58:I58"/>
    <mergeCell ref="J58:K58"/>
    <mergeCell ref="C67:I67"/>
    <mergeCell ref="J67:K67"/>
    <mergeCell ref="J61:K62"/>
    <mergeCell ref="J63:K63"/>
    <mergeCell ref="J64:K64"/>
    <mergeCell ref="J65:K65"/>
    <mergeCell ref="F65:I65"/>
    <mergeCell ref="F66:I66"/>
    <mergeCell ref="F61:I62"/>
    <mergeCell ref="C60:F60"/>
    <mergeCell ref="C61:D61"/>
    <mergeCell ref="E61:E62"/>
    <mergeCell ref="F63:I63"/>
    <mergeCell ref="F64:I64"/>
    <mergeCell ref="C71:K72"/>
    <mergeCell ref="C74:G74"/>
    <mergeCell ref="J101:K101"/>
    <mergeCell ref="J104:K104"/>
    <mergeCell ref="J103:K103"/>
    <mergeCell ref="C96:K96"/>
    <mergeCell ref="C100:I100"/>
    <mergeCell ref="C98:I98"/>
    <mergeCell ref="C99:I99"/>
    <mergeCell ref="C102:I102"/>
    <mergeCell ref="J102:K102"/>
    <mergeCell ref="C91:I91"/>
    <mergeCell ref="J97:K97"/>
    <mergeCell ref="J98:K98"/>
    <mergeCell ref="J99:K99"/>
    <mergeCell ref="J100:K100"/>
    <mergeCell ref="J89:K89"/>
    <mergeCell ref="J90:K90"/>
    <mergeCell ref="J91:K91"/>
    <mergeCell ref="H74:I74"/>
    <mergeCell ref="H75:I75"/>
    <mergeCell ref="H76:I76"/>
    <mergeCell ref="C80:G80"/>
    <mergeCell ref="C101:I101"/>
    <mergeCell ref="J106:K106"/>
    <mergeCell ref="C84:F84"/>
    <mergeCell ref="C85:D85"/>
    <mergeCell ref="E85:E86"/>
    <mergeCell ref="F85:I86"/>
    <mergeCell ref="J85:K86"/>
    <mergeCell ref="F87:I87"/>
    <mergeCell ref="J87:K87"/>
    <mergeCell ref="F88:I88"/>
    <mergeCell ref="J88:K88"/>
    <mergeCell ref="F89:I89"/>
    <mergeCell ref="F90:I90"/>
    <mergeCell ref="C104:I104"/>
    <mergeCell ref="C103:I103"/>
    <mergeCell ref="C105:I105"/>
    <mergeCell ref="C97:I97"/>
    <mergeCell ref="C111:E111"/>
    <mergeCell ref="C112:D112"/>
    <mergeCell ref="F112:G112"/>
    <mergeCell ref="C76:G76"/>
    <mergeCell ref="C75:G75"/>
    <mergeCell ref="H80:I80"/>
    <mergeCell ref="C77:G77"/>
    <mergeCell ref="H77:I77"/>
    <mergeCell ref="C78:G78"/>
    <mergeCell ref="H78:I78"/>
    <mergeCell ref="F106:I10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2" workbookViewId="0">
      <selection activeCell="B29" sqref="B29"/>
    </sheetView>
  </sheetViews>
  <sheetFormatPr baseColWidth="10" defaultRowHeight="14.4" x14ac:dyDescent="0.3"/>
  <cols>
    <col min="3" max="3" width="16.109375" bestFit="1" customWidth="1"/>
    <col min="5" max="5" width="13.5546875" bestFit="1" customWidth="1"/>
    <col min="6" max="6" width="11.5546875" style="23"/>
  </cols>
  <sheetData>
    <row r="1" spans="1:10" x14ac:dyDescent="0.3">
      <c r="A1" s="1" t="s">
        <v>97</v>
      </c>
    </row>
    <row r="2" spans="1:10" x14ac:dyDescent="0.3">
      <c r="A2" t="s">
        <v>98</v>
      </c>
      <c r="F2" s="23">
        <f>ROUND(310*uvtActual,-3)</f>
        <v>8766000</v>
      </c>
    </row>
    <row r="3" spans="1:10" x14ac:dyDescent="0.3">
      <c r="A3" t="s">
        <v>99</v>
      </c>
      <c r="F3" s="23">
        <f>ROUND(41*'Retención a Asalariados'!$K$3,-3)</f>
        <v>1159000</v>
      </c>
    </row>
    <row r="4" spans="1:10" x14ac:dyDescent="0.3">
      <c r="A4" t="s">
        <v>100</v>
      </c>
      <c r="G4" s="23"/>
    </row>
    <row r="7" spans="1:10" x14ac:dyDescent="0.3">
      <c r="A7" s="1" t="s">
        <v>101</v>
      </c>
    </row>
    <row r="9" spans="1:10" x14ac:dyDescent="0.3">
      <c r="A9" t="s">
        <v>102</v>
      </c>
    </row>
    <row r="10" spans="1:10" x14ac:dyDescent="0.3">
      <c r="A10" t="s">
        <v>103</v>
      </c>
      <c r="F10" s="23">
        <f>ROUND(350*'Retención a Asalariados'!K3,-3)</f>
        <v>9898000</v>
      </c>
    </row>
    <row r="12" spans="1:10" x14ac:dyDescent="0.3">
      <c r="A12" t="s">
        <v>104</v>
      </c>
    </row>
    <row r="13" spans="1:10" x14ac:dyDescent="0.3">
      <c r="F13" s="43"/>
      <c r="G13">
        <v>10000000</v>
      </c>
      <c r="I13">
        <v>1000000</v>
      </c>
    </row>
    <row r="14" spans="1:10" ht="15" thickBot="1" x14ac:dyDescent="0.35">
      <c r="A14" s="283" t="s">
        <v>106</v>
      </c>
      <c r="B14" s="283"/>
      <c r="C14" s="283"/>
      <c r="D14" s="283"/>
      <c r="E14" s="283"/>
      <c r="F14" s="43"/>
      <c r="I14">
        <f>+I13*C16</f>
        <v>900000</v>
      </c>
    </row>
    <row r="15" spans="1:10" x14ac:dyDescent="0.3">
      <c r="A15" s="284" t="s">
        <v>107</v>
      </c>
      <c r="B15" s="285"/>
      <c r="C15" s="52" t="s">
        <v>105</v>
      </c>
      <c r="D15" s="285" t="s">
        <v>109</v>
      </c>
      <c r="E15" s="286"/>
      <c r="G15" t="s">
        <v>110</v>
      </c>
      <c r="J15">
        <f>+I13-I14</f>
        <v>100000</v>
      </c>
    </row>
    <row r="16" spans="1:10" x14ac:dyDescent="0.3">
      <c r="A16" s="47">
        <v>350</v>
      </c>
      <c r="B16" s="44">
        <v>410</v>
      </c>
      <c r="C16" s="45">
        <v>0.9</v>
      </c>
      <c r="D16" s="46">
        <f>ROUND(A16*uvtActual,-3)</f>
        <v>9898000</v>
      </c>
      <c r="E16" s="46">
        <f>ROUND(B16*uvtActual,-3)</f>
        <v>11594000</v>
      </c>
      <c r="G16" t="s">
        <v>111</v>
      </c>
      <c r="H16" s="23">
        <v>9930822</v>
      </c>
    </row>
    <row r="17" spans="1:8" x14ac:dyDescent="0.3">
      <c r="A17" s="47">
        <v>410</v>
      </c>
      <c r="B17" s="44">
        <v>470</v>
      </c>
      <c r="C17" s="45">
        <v>0.8</v>
      </c>
      <c r="D17" s="46">
        <f>ROUND(A17*uvtActual,-3)+1</f>
        <v>11594001</v>
      </c>
      <c r="E17" s="46">
        <f>ROUND(B17*uvtActual,-3)</f>
        <v>13291000</v>
      </c>
      <c r="G17" t="s">
        <v>112</v>
      </c>
      <c r="H17" s="23">
        <v>11921931</v>
      </c>
    </row>
    <row r="18" spans="1:8" x14ac:dyDescent="0.3">
      <c r="A18" s="47">
        <v>470</v>
      </c>
      <c r="B18" s="44">
        <v>530</v>
      </c>
      <c r="C18" s="45">
        <v>0.6</v>
      </c>
      <c r="D18" s="46">
        <f>ROUND(A18*uvtActual,-3)+1</f>
        <v>13291001</v>
      </c>
      <c r="E18" s="46">
        <f>ROUND(B18*uvtActual,-3)</f>
        <v>14988000</v>
      </c>
      <c r="G18" t="s">
        <v>113</v>
      </c>
      <c r="H18" s="23">
        <v>6078175</v>
      </c>
    </row>
    <row r="19" spans="1:8" x14ac:dyDescent="0.3">
      <c r="A19" s="47">
        <v>530</v>
      </c>
      <c r="B19" s="44">
        <v>590</v>
      </c>
      <c r="C19" s="45">
        <v>0.4</v>
      </c>
      <c r="D19" s="46">
        <f>ROUND(A19*uvtActual,-3)+1</f>
        <v>14988001</v>
      </c>
      <c r="E19" s="46">
        <f>ROUND(B19*uvtActual,-3)</f>
        <v>16685000</v>
      </c>
      <c r="G19" t="s">
        <v>64</v>
      </c>
      <c r="H19" s="23">
        <v>12788283</v>
      </c>
    </row>
    <row r="20" spans="1:8" x14ac:dyDescent="0.3">
      <c r="A20" s="47">
        <v>590</v>
      </c>
      <c r="B20" s="44">
        <v>650</v>
      </c>
      <c r="C20" s="45">
        <v>0.2</v>
      </c>
      <c r="D20" s="46">
        <f>ROUND(A20*uvtActual,-3)+1</f>
        <v>16685001</v>
      </c>
      <c r="E20" s="46">
        <f>ROUND(B20*uvtActual,-3)</f>
        <v>18381000</v>
      </c>
      <c r="G20" t="s">
        <v>65</v>
      </c>
      <c r="H20" s="23">
        <v>5959257</v>
      </c>
    </row>
    <row r="21" spans="1:8" ht="15" thickBot="1" x14ac:dyDescent="0.35">
      <c r="A21" s="48" t="s">
        <v>108</v>
      </c>
      <c r="B21" s="49">
        <v>650</v>
      </c>
      <c r="C21" s="50">
        <v>0</v>
      </c>
      <c r="D21" s="51"/>
      <c r="E21" s="46">
        <f>ROUND(B21*uvtActual,-3)+1</f>
        <v>18381001</v>
      </c>
      <c r="G21" t="s">
        <v>66</v>
      </c>
      <c r="H21" s="23">
        <v>5780545</v>
      </c>
    </row>
    <row r="22" spans="1:8" x14ac:dyDescent="0.3">
      <c r="G22" s="1" t="s">
        <v>114</v>
      </c>
      <c r="H22" s="24">
        <f>ROUND(AVERAGE(H16:H21),-3)</f>
        <v>8743000</v>
      </c>
    </row>
    <row r="26" spans="1:8" x14ac:dyDescent="0.3">
      <c r="A26" s="1" t="s">
        <v>37</v>
      </c>
      <c r="G26">
        <v>10000000</v>
      </c>
      <c r="H26">
        <f>+G26*30/100</f>
        <v>3000000</v>
      </c>
    </row>
    <row r="27" spans="1:8" x14ac:dyDescent="0.3">
      <c r="A27" t="s">
        <v>115</v>
      </c>
    </row>
    <row r="28" spans="1:8" x14ac:dyDescent="0.3">
      <c r="A28" t="s">
        <v>117</v>
      </c>
    </row>
    <row r="29" spans="1:8" x14ac:dyDescent="0.3">
      <c r="A29" t="s">
        <v>116</v>
      </c>
      <c r="B29" s="23">
        <f>ROUND(3800*uvtActual, -3)</f>
        <v>107460000</v>
      </c>
    </row>
    <row r="32" spans="1:8" x14ac:dyDescent="0.3">
      <c r="A32" s="1" t="s">
        <v>118</v>
      </c>
    </row>
    <row r="33" spans="1:3" x14ac:dyDescent="0.3">
      <c r="A33" t="s">
        <v>119</v>
      </c>
    </row>
    <row r="34" spans="1:3" x14ac:dyDescent="0.3">
      <c r="A34" t="s">
        <v>120</v>
      </c>
    </row>
    <row r="36" spans="1:3" x14ac:dyDescent="0.3">
      <c r="A36" s="1" t="s">
        <v>121</v>
      </c>
    </row>
    <row r="37" spans="1:3" x14ac:dyDescent="0.3">
      <c r="A37" t="s">
        <v>122</v>
      </c>
      <c r="C37" s="60">
        <f>ROUND(32*uvtActual,-3)</f>
        <v>905000</v>
      </c>
    </row>
    <row r="38" spans="1:3" x14ac:dyDescent="0.3">
      <c r="A38" t="s">
        <v>123</v>
      </c>
    </row>
  </sheetData>
  <mergeCells count="3">
    <mergeCell ref="A14:E14"/>
    <mergeCell ref="A15:B15"/>
    <mergeCell ref="D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Retención a trabajadores</vt:lpstr>
      <vt:lpstr>retencion</vt:lpstr>
      <vt:lpstr>ejercicio</vt:lpstr>
      <vt:lpstr>Retención a Asalariados</vt:lpstr>
      <vt:lpstr>observaciones</vt:lpstr>
      <vt:lpstr>uvtActual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lulo</dc:creator>
  <cp:lastModifiedBy>ConTabilizalo</cp:lastModifiedBy>
  <cp:lastPrinted>2015-04-26T14:31:48Z</cp:lastPrinted>
  <dcterms:created xsi:type="dcterms:W3CDTF">2015-04-23T00:15:31Z</dcterms:created>
  <dcterms:modified xsi:type="dcterms:W3CDTF">2015-04-28T18:05:04Z</dcterms:modified>
</cp:coreProperties>
</file>