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54. COMPROBANTE DE CIERRE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Diario'!$A$5:$M$396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J401" i="1" l="1"/>
  <c r="J400" i="1"/>
  <c r="J399" i="1"/>
  <c r="J398" i="1"/>
  <c r="J397" i="1"/>
  <c r="M391" i="1"/>
  <c r="M325" i="1"/>
  <c r="G322" i="1" l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21" i="1"/>
  <c r="J396" i="1"/>
  <c r="J395" i="1"/>
  <c r="J394" i="1"/>
  <c r="J333" i="1"/>
  <c r="J321" i="1"/>
  <c r="G320" i="1" l="1"/>
  <c r="E319" i="1"/>
  <c r="E320" i="1"/>
  <c r="J320" i="1"/>
  <c r="J319" i="1"/>
  <c r="G319" i="1"/>
  <c r="E318" i="1"/>
  <c r="G318" i="1"/>
  <c r="J318" i="1"/>
  <c r="J317" i="1"/>
  <c r="G317" i="1"/>
  <c r="E317" i="1"/>
  <c r="K7" i="2" l="1"/>
  <c r="F7" i="2"/>
  <c r="E7" i="2"/>
  <c r="I7" i="2" s="1"/>
  <c r="D7" i="2"/>
  <c r="E315" i="1" l="1"/>
  <c r="G315" i="1"/>
  <c r="E316" i="1"/>
  <c r="G316" i="1"/>
  <c r="J316" i="1"/>
  <c r="J315" i="1"/>
  <c r="G314" i="1"/>
  <c r="E314" i="1"/>
  <c r="E312" i="1" l="1"/>
  <c r="G312" i="1"/>
  <c r="E313" i="1"/>
  <c r="G313" i="1"/>
  <c r="J314" i="1"/>
  <c r="J313" i="1"/>
  <c r="J312" i="1"/>
  <c r="J311" i="1"/>
  <c r="G311" i="1"/>
  <c r="E311" i="1"/>
  <c r="E307" i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/>
  <c r="G282" i="1"/>
  <c r="G281" i="1"/>
  <c r="G280" i="1"/>
  <c r="G279" i="1"/>
  <c r="G278" i="1"/>
  <c r="G277" i="1"/>
  <c r="G276" i="1"/>
  <c r="G275" i="1"/>
  <c r="G300" i="1"/>
  <c r="E300" i="1"/>
  <c r="P13" i="16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K6" i="2"/>
  <c r="H6" i="2"/>
  <c r="F6" i="2"/>
  <c r="E6" i="2"/>
  <c r="G6" i="2" s="1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/>
  <c r="G284" i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/>
  <c r="E264" i="1"/>
  <c r="E265" i="1"/>
  <c r="E266" i="1"/>
  <c r="E267" i="1"/>
  <c r="E268" i="1"/>
  <c r="E269" i="1"/>
  <c r="G269" i="1"/>
  <c r="J268" i="1"/>
  <c r="E263" i="1"/>
  <c r="K201" i="1"/>
  <c r="J200" i="1"/>
  <c r="E200" i="1"/>
  <c r="G200" i="1"/>
  <c r="G262" i="1"/>
  <c r="G261" i="1"/>
  <c r="G257" i="1"/>
  <c r="G258" i="1"/>
  <c r="G259" i="1"/>
  <c r="G260" i="1"/>
  <c r="L259" i="1"/>
  <c r="J259" i="1"/>
  <c r="K257" i="1"/>
  <c r="L255" i="1"/>
  <c r="G227" i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/>
  <c r="D10" i="16"/>
  <c r="G188" i="1"/>
  <c r="L188" i="1"/>
  <c r="M49" i="15"/>
  <c r="L49" i="15"/>
  <c r="J49" i="15"/>
  <c r="G186" i="1"/>
  <c r="G185" i="1"/>
  <c r="K186" i="1"/>
  <c r="J185" i="1"/>
  <c r="J186" i="1"/>
  <c r="C245" i="7"/>
  <c r="G14" i="15"/>
  <c r="K14" i="15"/>
  <c r="M14" i="15"/>
  <c r="G184" i="1"/>
  <c r="L184" i="1"/>
  <c r="C1911" i="7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/>
  <c r="G180" i="1"/>
  <c r="G179" i="1"/>
  <c r="L180" i="1"/>
  <c r="J180" i="1"/>
  <c r="G178" i="1"/>
  <c r="L178" i="1"/>
  <c r="C1022" i="7"/>
  <c r="J174" i="1"/>
  <c r="E173" i="1"/>
  <c r="G173" i="1"/>
  <c r="E174" i="1"/>
  <c r="G174" i="1"/>
  <c r="E175" i="1"/>
  <c r="G175" i="1"/>
  <c r="E176" i="1"/>
  <c r="G176" i="1"/>
  <c r="L174" i="1"/>
  <c r="K175" i="1" s="1"/>
  <c r="K173" i="1"/>
  <c r="C224" i="7"/>
  <c r="E172" i="1"/>
  <c r="G171" i="1"/>
  <c r="L171" i="1"/>
  <c r="G170" i="1"/>
  <c r="C861" i="7"/>
  <c r="G217" i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/>
  <c r="G169" i="1"/>
  <c r="C2185" i="7"/>
  <c r="J167" i="1"/>
  <c r="G167" i="1"/>
  <c r="C826" i="7"/>
  <c r="E166" i="1"/>
  <c r="J164" i="1"/>
  <c r="G163" i="1"/>
  <c r="G159" i="1"/>
  <c r="G157" i="1"/>
  <c r="K159" i="1"/>
  <c r="K157" i="1"/>
  <c r="G155" i="1"/>
  <c r="G154" i="1"/>
  <c r="G150" i="1"/>
  <c r="G151" i="1"/>
  <c r="G152" i="1"/>
  <c r="G153" i="1"/>
  <c r="L151" i="1"/>
  <c r="K152" i="1" s="1"/>
  <c r="L150" i="1"/>
  <c r="C893" i="7"/>
  <c r="E148" i="1"/>
  <c r="G148" i="1"/>
  <c r="L148" i="1"/>
  <c r="E147" i="1"/>
  <c r="C247" i="7"/>
  <c r="K9" i="16"/>
  <c r="P9" i="16"/>
  <c r="P10" i="16"/>
  <c r="E146" i="1"/>
  <c r="G146" i="1"/>
  <c r="L146" i="1"/>
  <c r="E145" i="1"/>
  <c r="G143" i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/>
  <c r="L135" i="1"/>
  <c r="L136" i="1"/>
  <c r="K137" i="1" s="1"/>
  <c r="E133" i="1"/>
  <c r="G133" i="1"/>
  <c r="K133" i="1"/>
  <c r="E132" i="1"/>
  <c r="M8" i="16"/>
  <c r="H8" i="16"/>
  <c r="G8" i="16"/>
  <c r="D8" i="16"/>
  <c r="M13" i="15"/>
  <c r="L13" i="15"/>
  <c r="K13" i="15"/>
  <c r="G13" i="15"/>
  <c r="F13" i="15"/>
  <c r="K8" i="16"/>
  <c r="L128" i="1"/>
  <c r="K130" i="1"/>
  <c r="J131" i="1"/>
  <c r="G131" i="1"/>
  <c r="J130" i="1"/>
  <c r="G130" i="1"/>
  <c r="J129" i="1"/>
  <c r="G129" i="1"/>
  <c r="J128" i="1"/>
  <c r="G128" i="1"/>
  <c r="L129" i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M7" i="16"/>
  <c r="G7" i="16"/>
  <c r="K7" i="16"/>
  <c r="O7" i="16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/>
  <c r="L119" i="1" s="1"/>
  <c r="K120" i="1" s="1"/>
  <c r="L121" i="1" s="1"/>
  <c r="E117" i="1"/>
  <c r="P7" i="16"/>
  <c r="E116" i="1"/>
  <c r="G116" i="1"/>
  <c r="L116" i="1"/>
  <c r="E115" i="1"/>
  <c r="C22" i="7"/>
  <c r="C21" i="7"/>
  <c r="D5" i="2"/>
  <c r="K5" i="2"/>
  <c r="F5" i="2"/>
  <c r="B5" i="2"/>
  <c r="M11" i="15"/>
  <c r="J11" i="15"/>
  <c r="K107" i="1"/>
  <c r="K108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/>
  <c r="L110" i="1" s="1"/>
  <c r="L111" i="1"/>
  <c r="E5" i="2"/>
  <c r="I5" i="2" s="1"/>
  <c r="K4" i="2"/>
  <c r="F4" i="2"/>
  <c r="E4" i="2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/>
  <c r="K102" i="1" s="1"/>
  <c r="K103" i="1"/>
  <c r="L100" i="1"/>
  <c r="K3" i="2"/>
  <c r="F3" i="2"/>
  <c r="E3" i="2"/>
  <c r="D3" i="2"/>
  <c r="L98" i="1"/>
  <c r="G97" i="1"/>
  <c r="G98" i="1"/>
  <c r="M10" i="15"/>
  <c r="K10" i="15"/>
  <c r="J10" i="15"/>
  <c r="G92" i="1"/>
  <c r="G93" i="1"/>
  <c r="G94" i="1"/>
  <c r="G95" i="1"/>
  <c r="G96" i="1"/>
  <c r="L91" i="1"/>
  <c r="L93" i="1"/>
  <c r="K94" i="1" s="1"/>
  <c r="L92" i="1"/>
  <c r="K95" i="1"/>
  <c r="N6" i="16"/>
  <c r="M6" i="16"/>
  <c r="J6" i="16"/>
  <c r="H6" i="16"/>
  <c r="G6" i="16"/>
  <c r="I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/>
  <c r="E83" i="1"/>
  <c r="C852" i="7"/>
  <c r="K6" i="16"/>
  <c r="O6" i="16"/>
  <c r="P6" i="16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/>
  <c r="K76" i="1"/>
  <c r="L77" i="1" s="1"/>
  <c r="C232" i="7"/>
  <c r="C859" i="7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/>
  <c r="E68" i="1"/>
  <c r="K5" i="16"/>
  <c r="O5" i="16"/>
  <c r="P5" i="16"/>
  <c r="K69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/>
  <c r="P4" i="16"/>
  <c r="P8" i="16"/>
  <c r="M3" i="16"/>
  <c r="K3" i="16"/>
  <c r="E62" i="1"/>
  <c r="G62" i="1"/>
  <c r="E63" i="1"/>
  <c r="G63" i="1"/>
  <c r="K62" i="1"/>
  <c r="L63" i="1" s="1"/>
  <c r="E61" i="1"/>
  <c r="C407" i="7"/>
  <c r="E60" i="1"/>
  <c r="G60" i="1"/>
  <c r="G59" i="1"/>
  <c r="E59" i="1"/>
  <c r="E56" i="1"/>
  <c r="G56" i="1"/>
  <c r="E57" i="1"/>
  <c r="G57" i="1"/>
  <c r="E58" i="1"/>
  <c r="G58" i="1"/>
  <c r="K55" i="1"/>
  <c r="L57" i="1"/>
  <c r="E55" i="1"/>
  <c r="K56" i="1"/>
  <c r="G54" i="1"/>
  <c r="C53" i="1"/>
  <c r="E53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E40" i="1"/>
  <c r="G40" i="1"/>
  <c r="L40" i="1"/>
  <c r="E39" i="1"/>
  <c r="G38" i="1"/>
  <c r="G33" i="1"/>
  <c r="G34" i="1"/>
  <c r="G35" i="1"/>
  <c r="G36" i="1"/>
  <c r="L35" i="1"/>
  <c r="K33" i="1"/>
  <c r="L34" i="1" s="1"/>
  <c r="G31" i="1"/>
  <c r="L31" i="1"/>
  <c r="G29" i="1"/>
  <c r="K29" i="1"/>
  <c r="M3" i="14"/>
  <c r="G19" i="1"/>
  <c r="G20" i="1"/>
  <c r="G21" i="1"/>
  <c r="G22" i="1"/>
  <c r="G23" i="1"/>
  <c r="G24" i="1"/>
  <c r="G25" i="1"/>
  <c r="G26" i="1"/>
  <c r="G27" i="1"/>
  <c r="L27" i="1"/>
  <c r="L25" i="1"/>
  <c r="L23" i="1"/>
  <c r="K20" i="1"/>
  <c r="L21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/>
  <c r="J13" i="8"/>
  <c r="J14" i="8"/>
  <c r="J15" i="8"/>
  <c r="J16" i="8"/>
  <c r="J17" i="8"/>
  <c r="D3" i="16"/>
  <c r="B3" i="2"/>
  <c r="C1518" i="7"/>
  <c r="K52" i="15"/>
  <c r="L52" i="15"/>
  <c r="I52" i="15"/>
  <c r="H52" i="15"/>
  <c r="E52" i="15"/>
  <c r="F52" i="15"/>
  <c r="J52" i="15"/>
  <c r="G52" i="15"/>
  <c r="K33" i="15"/>
  <c r="L33" i="15"/>
  <c r="J33" i="15"/>
  <c r="H33" i="15"/>
  <c r="I33" i="15"/>
  <c r="F33" i="15"/>
  <c r="E33" i="15"/>
  <c r="M33" i="15"/>
  <c r="G33" i="15"/>
  <c r="K16" i="15"/>
  <c r="L16" i="15"/>
  <c r="I16" i="15"/>
  <c r="H16" i="15"/>
  <c r="E16" i="15"/>
  <c r="F16" i="15"/>
  <c r="J16" i="15"/>
  <c r="G16" i="15"/>
  <c r="M52" i="15"/>
  <c r="D9" i="16"/>
  <c r="D7" i="16"/>
  <c r="D6" i="16"/>
  <c r="D5" i="16"/>
  <c r="G6" i="1"/>
  <c r="C863" i="7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/>
  <c r="C226" i="7"/>
  <c r="C225" i="7"/>
  <c r="C1396" i="7"/>
  <c r="C1395" i="7"/>
  <c r="C1394" i="7"/>
  <c r="C789" i="7"/>
  <c r="C312" i="7"/>
  <c r="C311" i="7"/>
  <c r="C282" i="7"/>
  <c r="C14" i="7"/>
  <c r="C13" i="7"/>
  <c r="C310" i="7"/>
  <c r="C309" i="7"/>
  <c r="C892" i="7"/>
  <c r="C891" i="7"/>
  <c r="C862" i="7"/>
  <c r="C413" i="7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  <c r="I3" i="2" l="1"/>
  <c r="N3" i="2" s="1"/>
  <c r="N5" i="2" s="1"/>
  <c r="I6" i="2"/>
  <c r="N6" i="2" s="1"/>
  <c r="I4" i="2"/>
  <c r="N4" i="2" s="1"/>
  <c r="N323" i="2"/>
  <c r="N324" i="2" s="1"/>
  <c r="L58" i="1"/>
  <c r="K59" i="1" s="1"/>
  <c r="L60" i="1" s="1"/>
  <c r="K78" i="1"/>
  <c r="E72" i="1"/>
  <c r="L125" i="1"/>
  <c r="K126" i="1" s="1"/>
  <c r="L127" i="1" s="1"/>
  <c r="K139" i="1"/>
  <c r="L142" i="1" s="1"/>
  <c r="K143" i="1" s="1"/>
  <c r="L166" i="1"/>
  <c r="K167" i="1" s="1"/>
  <c r="K96" i="1"/>
  <c r="L112" i="1"/>
  <c r="K153" i="1"/>
  <c r="L154" i="1" s="1"/>
  <c r="K155" i="1" s="1"/>
  <c r="L88" i="1"/>
  <c r="K89" i="1" s="1"/>
  <c r="L90" i="1" s="1"/>
  <c r="L44" i="1"/>
  <c r="K45" i="1" s="1"/>
  <c r="L46" i="1" s="1"/>
  <c r="L52" i="1"/>
  <c r="K53" i="1" s="1"/>
  <c r="L54" i="1" s="1"/>
  <c r="K176" i="1"/>
  <c r="L67" i="1"/>
  <c r="L71" i="1"/>
  <c r="K72" i="1" s="1"/>
  <c r="L73" i="1" s="1"/>
  <c r="L36" i="1"/>
  <c r="K37" i="1" s="1"/>
  <c r="L38" i="1" s="1"/>
  <c r="C54" i="1"/>
  <c r="E54" i="1" s="1"/>
  <c r="K131" i="1"/>
  <c r="L258" i="1"/>
  <c r="L260" i="1" s="1"/>
  <c r="K261" i="1" s="1"/>
  <c r="K104" i="1"/>
  <c r="K291" i="1"/>
  <c r="K144" i="1" l="1"/>
  <c r="L262" i="1"/>
  <c r="I1" i="1" l="1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<sst xmlns="http://schemas.openxmlformats.org/spreadsheetml/2006/main" count="4692" uniqueCount="1832">
  <si>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</si>
  <si>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</si>
  <si>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</si>
  <si>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</si>
  <si>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</si>
  <si>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</si>
  <si>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</si>
  <si>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</si>
  <si>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</si>
  <si>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</si>
  <si>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</si>
  <si>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</si>
  <si>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</si>
  <si>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</si>
  <si>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</si>
  <si>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</si>
  <si>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</si>
  <si>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</si>
  <si>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</si>
  <si>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</si>
  <si>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</si>
  <si>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</si>
  <si>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</si>
  <si>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</si>
  <si>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</si>
  <si>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</si>
  <si>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</si>
  <si>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</si>
  <si>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</si>
  <si>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</si>
  <si>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</si>
  <si>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</si>
  <si>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</si>
  <si>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</si>
  <si>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</si>
  <si>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</si>
  <si>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</si>
  <si>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</si>
  <si>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</si>
  <si>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</si>
  <si>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</si>
  <si>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</si>
  <si>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</si>
  <si>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</si>
  <si>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</si>
  <si>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</si>
  <si>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</si>
  <si>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</si>
  <si>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</si>
  <si>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</si>
  <si>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</si>
  <si>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</si>
  <si>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</si>
  <si>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</si>
  <si>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</si>
  <si>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</si>
  <si>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</si>
  <si>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</si>
  <si>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</si>
  <si>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</si>
  <si>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</si>
  <si>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</si>
  <si>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</si>
  <si>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</si>
  <si>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</si>
  <si>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</si>
  <si>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</si>
  <si>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</si>
  <si>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</si>
  <si>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</si>
  <si>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</si>
  <si>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</si>
  <si>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</si>
  <si>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</si>
  <si>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</si>
  <si>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</si>
  <si>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</si>
  <si>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</si>
  <si>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</si>
  <si>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</si>
  <si>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</si>
  <si>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</si>
  <si>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</si>
  <si>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</si>
  <si>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</si>
  <si>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</si>
  <si>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</si>
  <si>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</si>
  <si>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</si>
  <si>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</si>
  <si>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</si>
  <si>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</si>
  <si>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</si>
  <si>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</si>
  <si>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</si>
  <si>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</si>
  <si>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</si>
  <si>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</si>
  <si>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</si>
  <si>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</si>
  <si>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</si>
  <si>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</si>
  <si>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</si>
  <si>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</si>
  <si>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</si>
  <si>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</si>
  <si>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</si>
  <si>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</si>
  <si>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</si>
  <si>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</si>
  <si>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</si>
  <si>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</si>
  <si>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</si>
  <si>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</si>
  <si>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</si>
  <si>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</si>
  <si>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</si>
  <si>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</si>
  <si>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</si>
  <si>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</si>
  <si>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</si>
  <si>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</si>
  <si>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</si>
  <si>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</si>
  <si>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</si>
  <si>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</si>
  <si>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</si>
  <si>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</si>
  <si>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</si>
  <si>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</si>
  <si>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</si>
  <si>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</si>
  <si>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</si>
  <si>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</si>
  <si>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</si>
  <si>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</si>
  <si>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</si>
  <si>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</si>
  <si>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</si>
  <si>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</si>
  <si>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</si>
  <si>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</si>
  <si>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</si>
  <si>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</si>
  <si>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</si>
  <si>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</si>
  <si>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</si>
  <si>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</si>
  <si>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</si>
  <si>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</si>
  <si>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</si>
  <si>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</si>
  <si>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</si>
  <si>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</si>
  <si>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</si>
  <si>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</si>
  <si>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</si>
  <si>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</si>
  <si>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</si>
  <si>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</si>
  <si>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</si>
  <si>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</si>
  <si>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</si>
  <si>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</si>
  <si>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</si>
  <si>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</si>
  <si>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</si>
  <si>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</si>
  <si>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</si>
  <si>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</si>
  <si>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</si>
  <si>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</si>
  <si>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</si>
  <si>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</si>
  <si>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</si>
  <si>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</si>
  <si>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</si>
  <si>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</si>
  <si>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</si>
  <si>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</si>
  <si>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</si>
  <si>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</si>
  <si>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</si>
  <si>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</si>
  <si>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</si>
  <si>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</si>
  <si>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</si>
  <si>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</si>
  <si>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</si>
  <si>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</si>
  <si>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</si>
  <si>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</si>
  <si>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</si>
  <si>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</si>
  <si>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</si>
  <si>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</si>
  <si>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</si>
  <si>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</si>
  <si>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</si>
  <si>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</si>
  <si>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</si>
  <si>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</si>
  <si>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</si>
  <si>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</si>
  <si>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</si>
  <si>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</si>
  <si>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</si>
  <si>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</si>
  <si>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</si>
  <si>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</si>
  <si>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</si>
  <si>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</si>
  <si>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</si>
  <si>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</si>
  <si>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</si>
  <si>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</si>
  <si>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</si>
  <si>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</si>
  <si>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</si>
  <si>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</si>
  <si>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</si>
  <si>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</si>
  <si>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</si>
  <si>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</si>
  <si>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</si>
  <si>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</si>
  <si>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</si>
  <si>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</si>
  <si>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</si>
  <si>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</si>
  <si>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</si>
  <si>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</si>
  <si>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</si>
  <si>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</si>
  <si>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</si>
  <si>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</si>
  <si>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</si>
  <si>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</si>
  <si>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</si>
  <si>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</si>
  <si>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</si>
  <si>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</si>
  <si>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</si>
  <si>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</si>
  <si>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</si>
  <si>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</si>
  <si>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</si>
  <si>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</si>
  <si>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</si>
  <si>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</si>
  <si>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</si>
  <si>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</si>
  <si>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</si>
  <si>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</si>
  <si>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</si>
  <si>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</si>
  <si>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</si>
  <si>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</si>
  <si>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</si>
  <si>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</si>
  <si>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</si>
  <si>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</si>
  <si>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</si>
  <si>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</si>
  <si>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</si>
  <si>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</si>
  <si>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</si>
  <si>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</si>
  <si>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</si>
  <si>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</si>
  <si>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</si>
  <si>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</si>
  <si>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</si>
  <si>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</si>
  <si>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</si>
  <si>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</si>
  <si>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</si>
  <si>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</si>
  <si>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</si>
  <si>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</si>
  <si>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</si>
  <si>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</si>
  <si>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</si>
  <si>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</si>
  <si>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</si>
  <si>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</si>
  <si>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</si>
  <si>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</si>
  <si>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</si>
  <si>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</si>
  <si>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</si>
  <si>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</si>
  <si>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</si>
  <si>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</si>
  <si>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</si>
  <si>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</si>
  <si>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</si>
  <si>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</si>
  <si>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</si>
  <si>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</si>
  <si>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</si>
  <si>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</si>
  <si>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</si>
  <si>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</si>
  <si>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</si>
  <si>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</si>
  <si>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</si>
  <si>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</si>
  <si>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</si>
  <si>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</si>
  <si>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</si>
  <si>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</si>
  <si>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</si>
  <si>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</si>
  <si>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</si>
  <si>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</si>
  <si>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</si>
  <si>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</si>
  <si>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</si>
  <si>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</si>
  <si>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</si>
  <si>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</si>
  <si>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</si>
  <si>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</si>
  <si>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</si>
  <si>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</si>
  <si>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</si>
  <si>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</si>
  <si>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</si>
  <si>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</si>
  <si>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</si>
  <si>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</si>
  <si>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</si>
  <si>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</si>
  <si>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</si>
  <si>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</si>
  <si>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</si>
  <si>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</si>
  <si>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</si>
  <si>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</si>
  <si>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</si>
  <si>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</si>
  <si>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</si>
  <si>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</si>
  <si>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</si>
  <si>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</si>
  <si>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</si>
  <si>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</si>
  <si>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</si>
  <si>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</si>
  <si>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</si>
  <si>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</si>
  <si>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</si>
  <si>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</si>
  <si>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</si>
  <si>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</si>
  <si>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</si>
  <si>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</si>
  <si>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</si>
  <si>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</si>
  <si>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</si>
  <si>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</si>
  <si>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</si>
  <si>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</si>
  <si>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</si>
  <si>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</si>
  <si>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</si>
  <si>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</si>
  <si>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</si>
  <si>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</si>
  <si>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</si>
  <si>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</si>
  <si>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</si>
  <si>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</si>
  <si>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</si>
  <si>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</si>
  <si>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</si>
  <si>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</si>
  <si>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</si>
  <si>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</si>
  <si>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</si>
  <si>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</si>
  <si>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</si>
  <si>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</si>
  <si>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</si>
  <si>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</si>
  <si>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</si>
  <si>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</si>
  <si>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</si>
  <si>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</si>
  <si>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</si>
  <si>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</si>
  <si>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</si>
  <si>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</si>
  <si>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</si>
  <si>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</si>
  <si>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</si>
  <si>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</si>
  <si>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</si>
  <si>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</si>
  <si>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</si>
  <si>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</si>
  <si>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</si>
  <si>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</si>
  <si>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</si>
  <si>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</si>
  <si>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</si>
  <si>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</si>
  <si>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</si>
  <si>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</si>
  <si>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</si>
  <si>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</si>
  <si>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</si>
  <si>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</si>
  <si>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</si>
  <si>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</si>
  <si>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</si>
  <si>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</si>
  <si>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</si>
  <si>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</si>
  <si>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</si>
  <si>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</si>
  <si>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</si>
  <si>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</si>
  <si>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</si>
  <si>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</si>
  <si>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</si>
  <si>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</si>
  <si>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</si>
  <si>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</si>
  <si>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</si>
  <si>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</si>
  <si>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</si>
  <si>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</si>
  <si>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</si>
  <si>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</si>
  <si>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</si>
  <si>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</si>
  <si>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</si>
  <si>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</si>
  <si>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</si>
  <si>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</si>
  <si>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</si>
  <si>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</si>
  <si>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</si>
  <si>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</si>
  <si>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</si>
  <si>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</si>
  <si>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</si>
  <si>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</si>
  <si>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</si>
  <si>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</si>
  <si>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</si>
  <si>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</si>
  <si>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</si>
  <si>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</si>
  <si>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</si>
  <si>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</si>
  <si>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</si>
  <si>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</si>
  <si>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</si>
  <si>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</si>
  <si>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</si>
  <si>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</si>
  <si>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</si>
  <si>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</si>
  <si>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</si>
  <si>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</si>
  <si>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</si>
  <si>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</si>
  <si>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</si>
  <si>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</si>
  <si>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</si>
  <si>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</si>
  <si>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</si>
  <si>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</si>
  <si>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</si>
  <si>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</si>
  <si>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</si>
  <si>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</si>
  <si>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</si>
  <si>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</si>
  <si>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</si>
  <si>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</si>
  <si>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</si>
  <si>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</si>
  <si>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</si>
  <si>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</si>
  <si>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</si>
  <si>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</si>
  <si>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</si>
  <si>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</si>
  <si>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</si>
  <si>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</si>
  <si>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</si>
  <si>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</si>
  <si>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</si>
  <si>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</si>
  <si>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</si>
  <si>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</si>
  <si>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</si>
  <si>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</si>
  <si>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</si>
  <si>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</si>
  <si>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</si>
  <si>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</si>
  <si>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</si>
  <si>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</si>
  <si>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</si>
  <si>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</si>
  <si>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</si>
  <si>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</si>
  <si>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</si>
  <si>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</si>
  <si>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</si>
  <si>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</si>
  <si>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</si>
  <si>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</si>
  <si>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</si>
  <si>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</si>
  <si>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</si>
  <si>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</si>
  <si>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</si>
  <si>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</si>
  <si>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</si>
  <si>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</si>
  <si>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</si>
  <si>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</si>
  <si>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</si>
  <si>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</si>
  <si>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</si>
  <si>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</si>
  <si>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</si>
  <si>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</si>
  <si>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</si>
  <si>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</si>
  <si>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</si>
  <si>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</si>
  <si>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</si>
  <si>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</si>
  <si>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</si>
  <si>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</si>
  <si>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</si>
  <si>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</si>
  <si>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</si>
  <si>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</si>
  <si>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</si>
  <si>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</si>
  <si>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</si>
  <si>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</si>
  <si>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</si>
  <si>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</si>
  <si>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</si>
  <si>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</si>
  <si>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</si>
  <si>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</si>
  <si>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</si>
  <si>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</si>
  <si>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</si>
  <si>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</si>
  <si>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</si>
  <si>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</si>
  <si>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</si>
  <si>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</si>
  <si>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</si>
  <si>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</si>
  <si>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</si>
  <si>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</si>
  <si>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</si>
  <si>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</si>
  <si>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</si>
  <si>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</si>
  <si>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</si>
  <si>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</si>
  <si>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</si>
  <si>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</si>
  <si>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</si>
  <si>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</si>
  <si>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</si>
  <si>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</si>
  <si>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</si>
  <si>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</si>
  <si>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</si>
  <si>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</si>
  <si>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</si>
  <si>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</si>
  <si>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</si>
  <si>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</si>
  <si>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</si>
  <si>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</si>
  <si>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</si>
  <si>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</si>
  <si>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</si>
  <si>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</si>
  <si>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</si>
  <si>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</si>
  <si>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</si>
  <si>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</si>
  <si>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</si>
  <si>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</si>
  <si>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</si>
  <si>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</si>
  <si>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</si>
  <si>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</si>
  <si>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</si>
  <si>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</si>
  <si>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</si>
  <si>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</si>
  <si>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</si>
  <si>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</si>
  <si>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</si>
  <si>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</si>
  <si>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</si>
  <si>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</si>
  <si>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</si>
  <si>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</si>
  <si>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</si>
  <si>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</si>
  <si>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</si>
  <si>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</si>
  <si>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</si>
  <si>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</si>
  <si>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</si>
  <si>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</si>
  <si>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</si>
  <si>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</si>
  <si>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</si>
  <si>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</si>
  <si>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</si>
  <si>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</si>
  <si>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</si>
  <si>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</si>
  <si>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</si>
  <si>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</si>
  <si>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</si>
  <si>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</si>
  <si>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</si>
  <si>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</si>
  <si>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</si>
  <si>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</si>
  <si>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</si>
  <si>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</si>
  <si>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</si>
  <si>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</si>
  <si>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</si>
  <si>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</si>
  <si>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</si>
  <si>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</si>
  <si>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</si>
  <si>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</si>
  <si>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</si>
  <si>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</si>
  <si>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</si>
  <si>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</si>
  <si>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</si>
  <si>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</si>
  <si>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</si>
  <si>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</si>
  <si>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</si>
  <si>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</si>
  <si>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</si>
  <si>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</si>
  <si>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</si>
  <si>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</si>
  <si>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</si>
  <si>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</si>
  <si>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</si>
  <si>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</si>
  <si>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</si>
  <si>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</si>
  <si>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</si>
  <si>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</si>
  <si>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</si>
  <si>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</si>
  <si>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</si>
  <si>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</si>
  <si>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</si>
  <si>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</si>
  <si>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</si>
  <si>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</si>
  <si>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</si>
  <si>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</si>
  <si>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</si>
  <si>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</si>
  <si>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</si>
  <si>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</si>
  <si>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</si>
  <si>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</si>
  <si>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</si>
  <si>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</si>
  <si>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</si>
  <si>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</si>
  <si>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</si>
  <si>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</si>
  <si>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</si>
  <si>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</si>
  <si>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</si>
  <si>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</si>
  <si>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</si>
  <si>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</si>
  <si>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</si>
  <si>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</si>
  <si>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</si>
  <si>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</si>
  <si>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</si>
  <si>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</si>
  <si>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</si>
  <si>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</si>
  <si>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</si>
  <si>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</si>
  <si>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</si>
  <si>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</si>
  <si>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</si>
  <si>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</si>
  <si>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</si>
  <si>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</si>
  <si>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</si>
  <si>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</si>
  <si>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</si>
  <si>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</si>
  <si>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</si>
  <si>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</si>
  <si>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</si>
  <si>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</si>
  <si>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</si>
  <si>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</si>
  <si>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</si>
  <si>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</si>
  <si>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</si>
  <si>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</si>
  <si>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</si>
  <si>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</si>
  <si>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</si>
  <si>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</si>
  <si>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</si>
  <si>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</si>
  <si>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</si>
  <si>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</si>
  <si>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</si>
  <si>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</si>
  <si>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</si>
  <si>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</si>
  <si>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</si>
  <si>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</si>
  <si>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</si>
  <si>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</si>
  <si>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</si>
  <si>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</si>
  <si>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</si>
  <si>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</si>
  <si>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</si>
  <si>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</si>
  <si>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</si>
  <si>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</si>
  <si>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</si>
  <si>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</si>
  <si>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</si>
  <si>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</si>
  <si>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</si>
  <si>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</si>
  <si>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</si>
  <si>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</si>
  <si>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</si>
  <si>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</si>
  <si>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</si>
  <si>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</si>
  <si>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</si>
  <si>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</si>
  <si>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</si>
  <si>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</si>
  <si>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</si>
  <si>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</si>
  <si>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</si>
  <si>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</si>
  <si>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</si>
  <si>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</si>
  <si>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</si>
  <si>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</si>
  <si>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</si>
  <si>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</si>
  <si>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</si>
  <si>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</si>
  <si>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</si>
  <si>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</si>
  <si>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</si>
  <si>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</si>
  <si>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</si>
  <si>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</si>
  <si>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</si>
  <si>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</si>
  <si>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</si>
  <si>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</si>
  <si>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</si>
  <si>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</si>
  <si>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</si>
  <si>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</si>
  <si>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</si>
  <si>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</si>
  <si>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</si>
  <si>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</si>
  <si>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</si>
  <si>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</si>
  <si>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</si>
  <si>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</si>
  <si>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</si>
  <si>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</si>
  <si>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</si>
  <si>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</si>
  <si>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</si>
  <si>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</si>
  <si>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</si>
  <si>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</si>
  <si>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</si>
  <si>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</si>
  <si>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</si>
  <si>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</si>
  <si>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</si>
  <si>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</si>
  <si>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</si>
  <si>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</si>
  <si>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</si>
  <si>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</si>
  <si>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</si>
  <si>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</si>
  <si>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</si>
  <si>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</si>
  <si>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</si>
  <si>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</si>
  <si>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</si>
  <si>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</si>
  <si>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</si>
  <si>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</si>
  <si>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</si>
  <si>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</si>
  <si>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</si>
  <si>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</si>
  <si>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</si>
  <si>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</si>
  <si>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</si>
  <si>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</si>
  <si>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</si>
  <si>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</si>
  <si>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</si>
  <si>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</si>
  <si>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</si>
  <si>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</si>
  <si>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</si>
  <si>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</si>
  <si>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</si>
  <si>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</si>
  <si>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</si>
  <si>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</si>
  <si>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</si>
  <si>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</si>
  <si>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</si>
  <si>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</si>
  <si>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</si>
  <si>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</si>
  <si>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</si>
  <si>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</si>
  <si>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</si>
  <si>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</si>
  <si>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</si>
  <si>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</si>
  <si>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</si>
  <si>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</si>
  <si>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</si>
  <si>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</si>
  <si>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</si>
  <si>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</si>
  <si>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</si>
  <si>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</si>
  <si>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</si>
  <si>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</si>
  <si>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</si>
  <si>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</si>
  <si>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</si>
  <si>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</si>
  <si>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</si>
  <si>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</si>
  <si>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</si>
  <si>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</si>
  <si>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</si>
  <si>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</si>
  <si>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</si>
  <si>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</si>
  <si>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</si>
  <si>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</si>
  <si>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</si>
  <si>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</si>
  <si>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</si>
  <si>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</si>
  <si>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</si>
  <si>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</si>
  <si>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</si>
  <si>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</si>
  <si>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</si>
  <si>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</si>
  <si>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</si>
  <si>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</si>
  <si>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</si>
  <si>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</si>
  <si>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</si>
  <si>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</si>
  <si>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</si>
  <si>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</si>
  <si>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</si>
  <si>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</si>
  <si>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</si>
  <si>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</si>
  <si>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</si>
  <si>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</si>
  <si>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</si>
  <si>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</si>
  <si>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</si>
  <si>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</si>
  <si>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</si>
  <si>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</si>
  <si>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</si>
  <si>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</si>
  <si>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</si>
  <si>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</si>
  <si>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</si>
  <si>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</si>
  <si>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</si>
  <si>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</si>
  <si>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</si>
  <si>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</si>
  <si>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</si>
  <si>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</si>
  <si>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</si>
  <si>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</si>
  <si>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</si>
  <si>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</si>
  <si>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</si>
  <si>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</si>
  <si>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</si>
  <si>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</si>
  <si>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</si>
  <si>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</si>
  <si>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</si>
  <si>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</si>
  <si>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</si>
  <si>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</si>
  <si>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</si>
  <si>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</si>
  <si>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</si>
  <si>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</si>
  <si>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</si>
  <si>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</si>
  <si>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</si>
  <si>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</si>
  <si>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</si>
  <si>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</si>
  <si>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</si>
  <si>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</si>
  <si>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</si>
  <si>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</si>
  <si>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</si>
  <si>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</si>
  <si>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</si>
  <si>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</si>
  <si>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</si>
  <si>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</si>
  <si>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</si>
  <si>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</si>
  <si>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</si>
  <si>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</si>
  <si>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</si>
  <si>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</si>
  <si>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</si>
  <si>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</si>
  <si>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</si>
  <si>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</si>
  <si>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</si>
  <si>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</si>
  <si>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</si>
  <si>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</si>
  <si>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</si>
  <si>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</si>
  <si>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</si>
  <si>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</si>
  <si>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</si>
  <si>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</si>
  <si>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</si>
  <si>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</si>
  <si>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</si>
  <si>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</si>
  <si>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</si>
  <si>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</si>
  <si>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</si>
  <si>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</si>
  <si>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</si>
  <si>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</si>
  <si>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</si>
  <si>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</si>
  <si>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</si>
  <si>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</si>
  <si>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</si>
  <si>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</si>
  <si>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</si>
  <si>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</si>
  <si>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</si>
  <si>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</si>
  <si>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</si>
  <si>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</si>
  <si>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</si>
  <si>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</si>
  <si>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</si>
  <si>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</si>
  <si>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</si>
  <si>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</si>
  <si>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</si>
  <si>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</si>
  <si>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</si>
  <si>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</si>
  <si>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</si>
  <si>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</si>
  <si>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</si>
  <si>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</si>
  <si>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</si>
  <si>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</si>
  <si>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</si>
  <si>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</si>
  <si>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</si>
  <si>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</si>
  <si>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</si>
  <si>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</si>
  <si>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</si>
  <si>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</si>
  <si>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</si>
  <si>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</si>
  <si>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</si>
  <si>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</si>
  <si>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</si>
  <si>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</si>
  <si>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</si>
  <si>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</si>
  <si>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</si>
  <si>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</si>
  <si>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</si>
  <si>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</si>
  <si>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</si>
  <si>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</si>
  <si>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</si>
  <si>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</si>
  <si>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</si>
  <si>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</si>
  <si>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</si>
  <si>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</si>
  <si>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</si>
  <si>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</si>
  <si>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</si>
  <si>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</si>
  <si>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</si>
  <si>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</si>
  <si>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</si>
  <si>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</si>
  <si>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</si>
  <si>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</si>
  <si>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</si>
  <si>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</si>
  <si>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</si>
  <si>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</si>
  <si>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</si>
  <si>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</si>
  <si>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</si>
  <si>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</si>
  <si>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</si>
  <si>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</si>
  <si>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</si>
  <si>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</si>
  <si>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</si>
  <si>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</si>
  <si>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</si>
  <si>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</si>
  <si>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</si>
  <si>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</si>
  <si>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</si>
  <si>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</si>
  <si>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</si>
  <si>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</si>
  <si>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</si>
  <si>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</si>
  <si>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</si>
  <si>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</si>
  <si>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</si>
  <si>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</si>
  <si>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</si>
  <si>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</si>
  <si>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</si>
  <si>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</si>
  <si>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</si>
  <si>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</si>
  <si>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</si>
  <si>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</si>
  <si>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</si>
  <si>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</si>
  <si>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</si>
  <si>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</si>
  <si>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</si>
  <si>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</si>
  <si>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</si>
  <si>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</si>
  <si>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</si>
  <si>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</si>
  <si>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</si>
  <si>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</si>
  <si>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</si>
  <si>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</si>
  <si>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</si>
  <si>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</si>
  <si>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</si>
  <si>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</si>
  <si>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</si>
  <si>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</si>
  <si>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</si>
  <si>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</si>
  <si>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</si>
  <si>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</si>
  <si>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</si>
  <si>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</si>
  <si>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</si>
  <si>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</si>
  <si>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</si>
  <si>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</si>
  <si>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</si>
  <si>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</si>
  <si>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</si>
  <si>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</si>
  <si>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</si>
  <si>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</si>
  <si>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</si>
  <si>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</si>
  <si>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</si>
  <si>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</si>
  <si>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</si>
  <si>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</si>
  <si>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</si>
  <si>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</si>
  <si>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</si>
  <si>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</si>
  <si>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</si>
  <si>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</si>
  <si>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</si>
  <si>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</si>
  <si>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</si>
  <si>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</si>
  <si>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</si>
  <si>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</si>
  <si>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</si>
  <si>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</si>
  <si>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</si>
  <si>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</si>
  <si>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</si>
  <si>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</si>
  <si>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</si>
  <si>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</si>
  <si>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</si>
  <si>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</si>
  <si>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</si>
  <si>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</si>
  <si>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</si>
  <si>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</si>
  <si>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</si>
  <si>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</si>
  <si>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</si>
  <si>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</si>
  <si>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</si>
  <si>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</si>
  <si>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</si>
  <si>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</si>
  <si>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</si>
  <si>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</si>
  <si>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</si>
  <si>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</si>
  <si>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</si>
  <si>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</si>
  <si>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</si>
  <si>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</si>
  <si>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</si>
  <si>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</si>
  <si>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</si>
  <si>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</si>
  <si>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</si>
  <si>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</si>
  <si>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</si>
  <si>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</si>
  <si>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</si>
  <si>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</si>
  <si>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</si>
  <si>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</si>
  <si>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</si>
  <si>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</si>
  <si>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</si>
  <si>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</si>
  <si>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</si>
  <si>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</si>
  <si>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</si>
  <si>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</si>
  <si>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</si>
  <si>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</si>
  <si>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</si>
  <si>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</si>
  <si>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</si>
  <si>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</si>
  <si>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</si>
  <si>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</si>
  <si>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</si>
  <si>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</si>
  <si>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</si>
  <si>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</si>
  <si>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</si>
  <si>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</si>
  <si>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</si>
  <si>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</si>
  <si>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</si>
  <si>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</si>
  <si>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</si>
  <si>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</si>
  <si>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</si>
  <si>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</si>
  <si>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</si>
  <si>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</si>
  <si>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</si>
  <si>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</si>
  <si>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</si>
  <si>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</si>
  <si>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</si>
  <si>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</si>
  <si>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</si>
  <si>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</si>
  <si>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</si>
  <si>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</si>
  <si>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</si>
  <si>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</si>
  <si>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</si>
  <si>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</si>
  <si>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</si>
  <si>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</si>
  <si>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</si>
  <si>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</si>
  <si>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</si>
  <si>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</si>
  <si>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</si>
  <si>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</si>
  <si>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</si>
  <si>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</si>
  <si>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</si>
  <si>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</si>
  <si>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</si>
  <si>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</si>
  <si>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</si>
  <si>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</si>
  <si>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</si>
  <si>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</si>
  <si>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</si>
  <si>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</si>
  <si>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</si>
  <si>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</si>
  <si>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</si>
  <si>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</si>
  <si>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</si>
  <si>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</si>
  <si>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</si>
  <si>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</si>
  <si>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</si>
  <si>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</si>
  <si>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</si>
  <si>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</si>
  <si>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</si>
  <si>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</si>
  <si>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</si>
  <si>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</si>
  <si>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</si>
  <si>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</si>
  <si>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</si>
  <si>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</si>
  <si>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</si>
  <si>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</si>
  <si>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</si>
  <si>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</si>
  <si>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</si>
  <si>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</si>
  <si>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</si>
  <si>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</si>
  <si>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</si>
  <si>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</si>
  <si>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</si>
  <si>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</si>
  <si>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</si>
  <si>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</si>
  <si>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</si>
  <si>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</si>
  <si>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</si>
  <si>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</si>
  <si>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</si>
  <si>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</si>
  <si>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</si>
  <si>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</si>
  <si>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</si>
  <si>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</si>
  <si>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</si>
  <si>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</si>
  <si>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</si>
  <si>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</si>
  <si>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</si>
  <si>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</si>
  <si>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</si>
  <si>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</si>
  <si>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</si>
  <si>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</si>
  <si>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</si>
  <si>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</si>
  <si>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</si>
  <si>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</si>
  <si>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</si>
  <si>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</si>
  <si>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</si>
  <si>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</si>
  <si>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</si>
  <si>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</si>
  <si>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</si>
  <si>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</si>
  <si>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</si>
  <si>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</si>
  <si>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</si>
  <si>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</si>
  <si>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</si>
  <si>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</si>
  <si>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</si>
  <si>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</si>
  <si>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</si>
  <si>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</si>
  <si>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</si>
  <si>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</si>
  <si>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</si>
  <si>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</si>
  <si>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</si>
  <si>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</si>
  <si>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</si>
  <si>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</si>
  <si>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</si>
  <si>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</si>
  <si>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</si>
  <si>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</si>
  <si>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</si>
  <si>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</si>
  <si>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</si>
  <si>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</si>
  <si>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</si>
  <si>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</si>
  <si>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</si>
  <si>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</si>
  <si>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</si>
  <si>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</si>
  <si>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</si>
  <si>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</si>
  <si>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</si>
  <si>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</si>
  <si>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</si>
  <si>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</si>
  <si>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</si>
  <si>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</si>
  <si>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</si>
  <si>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</si>
  <si>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</si>
  <si>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</si>
  <si>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</si>
  <si>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</si>
  <si>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</si>
  <si>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</si>
  <si>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</si>
  <si>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</si>
  <si>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</si>
  <si>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</si>
  <si>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</si>
  <si>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</si>
  <si>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</si>
  <si>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</si>
  <si>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</si>
  <si>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</si>
  <si>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</si>
  <si>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</si>
  <si>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</si>
  <si>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</si>
  <si>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</si>
  <si>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</si>
  <si>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</si>
  <si>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</si>
  <si>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</si>
  <si>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</si>
  <si>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</si>
  <si>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</si>
  <si>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</si>
  <si>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</si>
  <si>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</si>
  <si>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</si>
  <si>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</si>
  <si>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</si>
  <si>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</si>
  <si>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</si>
  <si>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</si>
  <si>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</si>
  <si>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</si>
  <si>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</si>
  <si>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</si>
  <si>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</si>
  <si>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</si>
  <si>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</si>
  <si>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</si>
  <si>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</si>
  <si>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</si>
  <si>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</si>
  <si>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</si>
  <si>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</si>
  <si>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</si>
  <si>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</si>
  <si>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</si>
  <si>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</si>
  <si>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</si>
  <si>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</si>
  <si>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</si>
  <si>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</si>
  <si>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</si>
  <si>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</si>
  <si>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</si>
  <si>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</si>
  <si>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</si>
  <si>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</si>
  <si>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</si>
  <si>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</si>
  <si>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</si>
  <si>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</si>
  <si>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</si>
  <si>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</si>
  <si>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</si>
  <si>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</si>
  <si>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</si>
  <si>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</si>
  <si>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</si>
  <si>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</si>
  <si>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</si>
  <si>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</si>
  <si>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</si>
  <si>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</si>
  <si>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</si>
  <si>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</si>
  <si>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</si>
  <si>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</si>
  <si>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</si>
  <si>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</si>
  <si>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</si>
  <si>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</si>
  <si>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</si>
  <si>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</si>
  <si>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</si>
  <si>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</si>
  <si>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</si>
  <si>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</si>
  <si>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</si>
  <si>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</si>
  <si>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</si>
  <si>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</si>
  <si>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</si>
  <si>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</si>
  <si>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</si>
  <si>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</si>
  <si>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</si>
  <si>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</si>
  <si>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</si>
  <si>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</si>
  <si>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</si>
  <si>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</si>
  <si>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</si>
  <si>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</si>
  <si>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</si>
  <si>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</si>
  <si>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</si>
  <si>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</si>
  <si>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</si>
  <si>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</si>
  <si>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</si>
  <si>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</si>
  <si>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</si>
  <si>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</si>
  <si>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</si>
  <si>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</si>
  <si>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</si>
  <si>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</si>
  <si>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</si>
  <si>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</si>
  <si>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</si>
  <si>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</si>
  <si>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</si>
  <si>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</si>
  <si>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</si>
  <si>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</si>
  <si>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</si>
  <si>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</si>
  <si>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</si>
  <si>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</si>
  <si>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</si>
  <si>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</si>
  <si>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</si>
  <si>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</si>
  <si>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</si>
  <si>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</si>
  <si>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</si>
  <si>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</si>
  <si>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</si>
  <si>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</si>
  <si>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</si>
  <si>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</si>
  <si>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</si>
  <si>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</si>
  <si>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</si>
  <si>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</si>
  <si>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</si>
  <si>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</si>
  <si>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</si>
  <si>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</si>
  <si>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</si>
  <si>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</si>
  <si>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</si>
  <si>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</si>
  <si>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</si>
  <si>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</si>
  <si>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</si>
  <si>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</si>
  <si>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</si>
  <si>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</si>
  <si>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</si>
  <si>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</si>
  <si>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</si>
  <si>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</si>
  <si>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</si>
  <si>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</si>
  <si>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</si>
  <si>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</si>
  <si>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</si>
  <si>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</si>
  <si>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</si>
  <si>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</si>
  <si>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</si>
  <si>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</si>
  <si>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</si>
  <si>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</si>
  <si>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</si>
  <si>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</si>
  <si>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</si>
  <si>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</si>
  <si>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</si>
  <si>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</si>
  <si>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</si>
  <si>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</si>
  <si>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</si>
  <si>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</si>
  <si>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</si>
  <si>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</si>
  <si>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</si>
  <si>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</si>
  <si>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</si>
  <si>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</si>
  <si>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</si>
  <si>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</si>
  <si>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</si>
  <si>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</si>
  <si>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</si>
  <si>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</si>
  <si>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</si>
  <si>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</si>
  <si>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</si>
  <si>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</si>
  <si>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</si>
  <si>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</si>
  <si>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</si>
  <si>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</si>
  <si>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</si>
  <si>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</si>
  <si>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</si>
  <si>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</si>
  <si>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</si>
  <si>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</si>
  <si>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</si>
  <si>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</si>
  <si>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</si>
  <si>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</si>
  <si>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</si>
  <si>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</si>
  <si>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</si>
  <si>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</si>
  <si>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</si>
  <si>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</si>
  <si>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</si>
  <si>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</si>
  <si>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</si>
  <si>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</si>
  <si>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</si>
  <si>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</si>
  <si>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</si>
  <si>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</si>
  <si>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</si>
  <si>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</si>
  <si>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</si>
  <si>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</si>
  <si>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</si>
  <si>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</si>
  <si>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</si>
  <si>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</si>
  <si>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</si>
  <si>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</si>
  <si>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</si>
  <si>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</si>
  <si>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</si>
  <si>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</si>
  <si>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</si>
  <si>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</si>
  <si>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</si>
  <si>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</si>
  <si>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</si>
  <si>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</si>
  <si>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</si>
  <si>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</si>
  <si>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</si>
  <si>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</si>
  <si>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</si>
  <si>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</si>
  <si>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</si>
  <si>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</si>
  <si>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</si>
  <si>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</si>
  <si>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</si>
  <si>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</si>
  <si>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</si>
  <si>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</si>
  <si>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</si>
  <si>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</si>
  <si>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</si>
  <si>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</si>
  <si>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</si>
  <si>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</si>
  <si>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</si>
  <si>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</si>
  <si>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</si>
  <si>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</si>
  <si>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</si>
  <si>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</si>
  <si>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</si>
  <si>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</si>
  <si>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</si>
  <si>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</si>
  <si>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</si>
  <si>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</si>
  <si>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</si>
  <si>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</si>
  <si>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</si>
  <si>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</si>
  <si>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</si>
  <si>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</si>
  <si>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</si>
  <si>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</si>
  <si>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</si>
  <si>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</si>
  <si>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</si>
  <si>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</si>
  <si>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</si>
  <si>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</si>
  <si>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</si>
  <si>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</si>
  <si>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</si>
  <si>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</si>
  <si>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</si>
  <si>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</si>
  <si>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</si>
  <si>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</si>
  <si>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</si>
  <si>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</si>
  <si>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</si>
  <si>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</si>
  <si>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</si>
  <si>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</si>
  <si>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</si>
  <si>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</si>
  <si>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</si>
  <si>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</si>
  <si>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</si>
  <si>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</si>
  <si>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</si>
  <si>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</si>
  <si>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</si>
  <si>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</si>
  <si>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</si>
  <si>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</si>
  <si>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</si>
  <si>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</si>
  <si>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</si>
  <si>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</si>
  <si>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</si>
  <si>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</si>
  <si>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</si>
  <si>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</si>
  <si>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</si>
  <si>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</si>
  <si>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</si>
  <si>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</si>
  <si>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</si>
  <si>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</si>
  <si>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</si>
  <si>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</si>
  <si>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</si>
  <si>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</si>
  <si>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</si>
  <si>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</si>
  <si>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</si>
  <si>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</si>
  <si>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</si>
  <si>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</si>
  <si>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</si>
  <si>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</si>
  <si>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</si>
  <si>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</si>
  <si>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</si>
  <si>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</si>
  <si>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</si>
  <si>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</si>
  <si>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</si>
  <si>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</si>
  <si>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</si>
  <si>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</si>
  <si>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</si>
  <si>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</si>
  <si>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</si>
  <si>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</si>
  <si>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</si>
  <si>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</si>
  <si>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</si>
  <si>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</si>
  <si>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</si>
  <si>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</si>
  <si>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</si>
  <si>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</si>
  <si>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</si>
  <si>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</si>
  <si>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</si>
  <si>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</si>
  <si>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</si>
  <si>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</si>
  <si>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</si>
  <si>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</si>
  <si>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</si>
  <si>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</si>
  <si>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</si>
  <si>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</si>
  <si>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</si>
  <si>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</si>
  <si>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</si>
  <si>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</si>
  <si>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</si>
  <si>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</si>
  <si>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</si>
  <si>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</si>
  <si>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</si>
  <si>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</si>
  <si>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</si>
  <si>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</si>
  <si>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</si>
  <si>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</si>
  <si>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</si>
  <si>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</si>
  <si>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</si>
  <si>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</si>
  <si>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</si>
  <si>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</si>
  <si>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</si>
  <si>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</si>
  <si>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</si>
  <si>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</si>
  <si>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</si>
  <si>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</si>
  <si>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</si>
  <si>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</si>
  <si>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</si>
  <si>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</si>
  <si>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</si>
  <si>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</si>
  <si>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</si>
  <si>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</si>
  <si>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</si>
  <si>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</si>
  <si>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</si>
  <si>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</si>
  <si>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</si>
  <si>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</si>
  <si>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</si>
  <si>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</si>
  <si>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</si>
  <si>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</si>
  <si>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</si>
  <si>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</si>
  <si>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</si>
  <si>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</si>
  <si>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</si>
  <si>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</si>
  <si>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</si>
  <si>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</si>
  <si>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</si>
  <si>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</si>
  <si>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</si>
  <si>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</si>
  <si>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</si>
  <si>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</si>
  <si>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</si>
  <si>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</si>
  <si>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</si>
  <si>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</si>
  <si>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</si>
  <si>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</si>
  <si>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</si>
  <si>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</si>
  <si>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</si>
  <si>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</si>
  <si>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</si>
  <si>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</si>
  <si>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</si>
  <si>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</si>
  <si>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</si>
  <si>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</si>
  <si>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PGO FRA CD011</t>
  </si>
  <si>
    <t>AJUST PROVIS CARTERA 319 DIAS</t>
  </si>
  <si>
    <t>AJUST PROVIS CARTERA 287 DIAS</t>
  </si>
  <si>
    <t xml:space="preserve">COMP CIERRE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</si>
</sst>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54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0" fontId="4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5" fontId="2" fillId="9" borderId="52" xfId="0" applyNumberFormat="1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/>
    <xf numFmtId="15" fontId="0" fillId="0" borderId="5" xfId="0" applyNumberForma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" fillId="8" borderId="5" xfId="0" applyFont="1" applyFill="1" applyBorder="1"/>
    <xf numFmtId="3" fontId="0" fillId="8" borderId="5" xfId="0" applyNumberFormat="1" applyFill="1" applyBorder="1"/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10" dataDxfId="9">
  <autoFilter ref="A1:D4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XFD457"/>
  <sheetViews>
    <sheetView showGridLines="0" tabSelected="1" topLeftCell="C1" zoomScale="115" zoomScaleNormal="115" workbookViewId="0">
      <pane ySplit="5" topLeftCell="A393" activePane="bottomLeft" state="frozen"/>
      <selection pane="bottomLeft" activeCell="J397" sqref="J397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2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17.42578125" style="11" customWidth="1"/>
    <col min="14" max="16383" width="11.42578125" hidden="1"/>
    <col min="16384" max="16384" width="9.28515625" customWidth="1"/>
  </cols>
  <sheetData>
    <row r="1" spans="1:13" ht="16.5" thickBot="1" x14ac:dyDescent="0.3">
      <c r="D1" s="1" t="s">
        <v>1430</v>
      </c>
      <c r="H1" s="25" t="s">
        <v>1378</v>
      </c>
      <c r="I1" s="193">
        <f>SUM(K:K)-SUM(L:L)</f>
        <v>-0.30809670686721802</v>
      </c>
      <c r="J1" s="194"/>
      <c r="K1" s="19"/>
      <c r="L1" s="19"/>
      <c r="M1" s="19"/>
    </row>
    <row r="2" spans="1:13" ht="15.75" thickBot="1" x14ac:dyDescent="0.3">
      <c r="D2" s="123" t="s">
        <v>1380</v>
      </c>
      <c r="I2" s="195" t="s">
        <v>1385</v>
      </c>
      <c r="J2" s="196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8" t="s">
        <v>0</v>
      </c>
      <c r="B5" s="109" t="s">
        <v>1382</v>
      </c>
      <c r="C5" s="143" t="s">
        <v>1</v>
      </c>
      <c r="D5" s="108" t="s">
        <v>2</v>
      </c>
      <c r="E5" s="108" t="s">
        <v>3</v>
      </c>
      <c r="F5" s="108" t="s">
        <v>4</v>
      </c>
      <c r="G5" s="108" t="s">
        <v>5</v>
      </c>
      <c r="H5" s="108" t="s">
        <v>6</v>
      </c>
      <c r="I5" s="108" t="s">
        <v>1374</v>
      </c>
      <c r="J5" s="108" t="s">
        <v>1375</v>
      </c>
      <c r="K5" s="110" t="s">
        <v>7</v>
      </c>
      <c r="L5" s="110" t="s">
        <v>8</v>
      </c>
      <c r="M5" s="110" t="s">
        <v>1404</v>
      </c>
    </row>
    <row r="6" spans="1:13" hidden="1" outlineLevel="1" x14ac:dyDescent="0.25">
      <c r="A6" s="22" t="s">
        <v>1553</v>
      </c>
      <c r="B6" s="29" t="s">
        <v>1554</v>
      </c>
      <c r="C6" s="144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4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4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4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4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5" t="s">
        <v>1553</v>
      </c>
      <c r="B11" s="146" t="s">
        <v>1557</v>
      </c>
      <c r="C11" s="147">
        <v>41640</v>
      </c>
      <c r="D11" s="145"/>
      <c r="E11" s="145"/>
      <c r="F11" s="148">
        <v>54263321</v>
      </c>
      <c r="G11" s="145" t="str">
        <f>IFERROR(VLOOKUP(F11,TERCEROS[],3,FALSE),"")</f>
        <v>Jairo Rincón</v>
      </c>
      <c r="H11" s="145" t="s">
        <v>1558</v>
      </c>
      <c r="I11" s="145">
        <v>154005</v>
      </c>
      <c r="J11" s="145" t="str">
        <f t="shared" si="0"/>
        <v xml:space="preserve">AUTOS, CAMIONETAS Y CAMPEROS </v>
      </c>
      <c r="K11" s="149">
        <v>9000000</v>
      </c>
      <c r="L11" s="149"/>
      <c r="M11" s="24"/>
    </row>
    <row r="12" spans="1:13" hidden="1" outlineLevel="1" x14ac:dyDescent="0.25">
      <c r="A12" s="145" t="s">
        <v>1553</v>
      </c>
      <c r="B12" s="146" t="s">
        <v>1557</v>
      </c>
      <c r="C12" s="147">
        <v>41640</v>
      </c>
      <c r="D12" s="145"/>
      <c r="E12" s="145"/>
      <c r="F12" s="148">
        <v>54263321</v>
      </c>
      <c r="G12" s="145" t="str">
        <f>IFERROR(VLOOKUP(F12,TERCEROS[],3,FALSE),"")</f>
        <v>Jairo Rincón</v>
      </c>
      <c r="H12" s="145" t="s">
        <v>1558</v>
      </c>
      <c r="I12" s="145">
        <v>31051501</v>
      </c>
      <c r="J12" s="145" t="str">
        <f t="shared" si="0"/>
        <v>JAIRO RINCON</v>
      </c>
      <c r="K12" s="149"/>
      <c r="L12" s="149">
        <v>9000000</v>
      </c>
      <c r="M12" s="24"/>
    </row>
    <row r="13" spans="1:13" hidden="1" outlineLevel="1" x14ac:dyDescent="0.25">
      <c r="A13" s="145" t="s">
        <v>1553</v>
      </c>
      <c r="B13" s="146" t="s">
        <v>1557</v>
      </c>
      <c r="C13" s="147">
        <v>41640</v>
      </c>
      <c r="D13" s="145"/>
      <c r="E13" s="145"/>
      <c r="F13" s="148">
        <v>54263321</v>
      </c>
      <c r="G13" s="145" t="str">
        <f>IFERROR(VLOOKUP(F13,TERCEROS[],3,FALSE),"")</f>
        <v>Jairo Rincón</v>
      </c>
      <c r="H13" s="145" t="s">
        <v>1559</v>
      </c>
      <c r="I13" s="145">
        <v>110505</v>
      </c>
      <c r="J13" s="145" t="str">
        <f t="shared" si="0"/>
        <v xml:space="preserve">CAJA GENERAL </v>
      </c>
      <c r="K13" s="149">
        <v>4500000</v>
      </c>
      <c r="L13" s="149"/>
      <c r="M13" s="24"/>
    </row>
    <row r="14" spans="1:13" hidden="1" outlineLevel="1" x14ac:dyDescent="0.25">
      <c r="A14" s="145" t="s">
        <v>1553</v>
      </c>
      <c r="B14" s="146" t="s">
        <v>1557</v>
      </c>
      <c r="C14" s="147">
        <v>41640</v>
      </c>
      <c r="D14" s="145"/>
      <c r="E14" s="145"/>
      <c r="F14" s="148">
        <v>54263321</v>
      </c>
      <c r="G14" s="145" t="str">
        <f>IFERROR(VLOOKUP(F14,TERCEROS[],3,FALSE),"")</f>
        <v>Jairo Rincón</v>
      </c>
      <c r="H14" s="145" t="s">
        <v>1559</v>
      </c>
      <c r="I14" s="145">
        <v>31051501</v>
      </c>
      <c r="J14" s="145" t="str">
        <f t="shared" si="0"/>
        <v>JAIRO RINCON</v>
      </c>
      <c r="K14" s="149"/>
      <c r="L14" s="149">
        <f>+K13</f>
        <v>4500000</v>
      </c>
      <c r="M14" s="24"/>
    </row>
    <row r="15" spans="1:13" hidden="1" outlineLevel="1" x14ac:dyDescent="0.25">
      <c r="A15" s="145" t="s">
        <v>1553</v>
      </c>
      <c r="B15" s="146" t="s">
        <v>1557</v>
      </c>
      <c r="C15" s="147">
        <v>41640</v>
      </c>
      <c r="D15" s="145"/>
      <c r="E15" s="145"/>
      <c r="F15" s="148">
        <v>54263321</v>
      </c>
      <c r="G15" s="145" t="str">
        <f>IFERROR(VLOOKUP(F15,TERCEROS[],3,FALSE),"")</f>
        <v>Jairo Rincón</v>
      </c>
      <c r="H15" s="145" t="s">
        <v>1560</v>
      </c>
      <c r="I15" s="145">
        <v>150405</v>
      </c>
      <c r="J15" s="145" t="str">
        <f t="shared" si="0"/>
        <v xml:space="preserve">URBANOS </v>
      </c>
      <c r="K15" s="149">
        <v>2000000</v>
      </c>
      <c r="L15" s="149"/>
      <c r="M15" s="24"/>
    </row>
    <row r="16" spans="1:13" hidden="1" outlineLevel="1" x14ac:dyDescent="0.25">
      <c r="A16" s="145" t="s">
        <v>1553</v>
      </c>
      <c r="B16" s="146" t="s">
        <v>1557</v>
      </c>
      <c r="C16" s="147">
        <v>41640</v>
      </c>
      <c r="D16" s="145"/>
      <c r="E16" s="145"/>
      <c r="F16" s="148">
        <v>54263321</v>
      </c>
      <c r="G16" s="145" t="str">
        <f>IFERROR(VLOOKUP(F16,TERCEROS[],3,FALSE),"")</f>
        <v>Jairo Rincón</v>
      </c>
      <c r="H16" s="145" t="s">
        <v>1561</v>
      </c>
      <c r="I16" s="145">
        <v>151610</v>
      </c>
      <c r="J16" s="145" t="str">
        <f t="shared" si="0"/>
        <v xml:space="preserve">OFICINAS </v>
      </c>
      <c r="K16" s="149">
        <v>8000000</v>
      </c>
      <c r="L16" s="149"/>
      <c r="M16" s="24"/>
    </row>
    <row r="17" spans="1:13" hidden="1" outlineLevel="1" x14ac:dyDescent="0.25">
      <c r="A17" s="145" t="s">
        <v>1553</v>
      </c>
      <c r="B17" s="146" t="s">
        <v>1557</v>
      </c>
      <c r="C17" s="147">
        <v>41640</v>
      </c>
      <c r="D17" s="145"/>
      <c r="E17" s="145"/>
      <c r="F17" s="148">
        <v>54263321</v>
      </c>
      <c r="G17" s="145" t="str">
        <f>IFERROR(VLOOKUP(F17,TERCEROS[],3,FALSE),"")</f>
        <v>Jairo Rincón</v>
      </c>
      <c r="H17" s="145" t="s">
        <v>1562</v>
      </c>
      <c r="I17" s="145">
        <v>31051501</v>
      </c>
      <c r="J17" s="145" t="str">
        <f t="shared" si="0"/>
        <v>JAIRO RINCON</v>
      </c>
      <c r="K17" s="149"/>
      <c r="L17" s="149">
        <f>+K15+K16</f>
        <v>10000000</v>
      </c>
      <c r="M17" s="24"/>
    </row>
    <row r="18" spans="1:13" hidden="1" outlineLevel="1" x14ac:dyDescent="0.25">
      <c r="A18" s="145" t="s">
        <v>1553</v>
      </c>
      <c r="B18" s="146" t="s">
        <v>1557</v>
      </c>
      <c r="C18" s="147">
        <v>41640</v>
      </c>
      <c r="D18" s="145"/>
      <c r="E18" s="145"/>
      <c r="F18" s="148">
        <v>1019125029</v>
      </c>
      <c r="G18" s="145" t="str">
        <f>IFERROR(VLOOKUP(F18,TERCEROS[],3,FALSE),"")</f>
        <v>Susanita Perez</v>
      </c>
      <c r="H18" s="145" t="s">
        <v>1559</v>
      </c>
      <c r="I18" s="145">
        <v>110505</v>
      </c>
      <c r="J18" s="145" t="str">
        <f t="shared" si="0"/>
        <v xml:space="preserve">CAJA GENERAL </v>
      </c>
      <c r="K18" s="149">
        <v>20600000</v>
      </c>
      <c r="L18" s="149"/>
      <c r="M18" s="24"/>
    </row>
    <row r="19" spans="1:13" hidden="1" outlineLevel="1" x14ac:dyDescent="0.25">
      <c r="A19" s="145" t="s">
        <v>1553</v>
      </c>
      <c r="B19" s="146" t="s">
        <v>1557</v>
      </c>
      <c r="C19" s="147">
        <v>41640</v>
      </c>
      <c r="D19" s="145"/>
      <c r="E19" s="145"/>
      <c r="F19" s="148">
        <v>1019125029</v>
      </c>
      <c r="G19" s="145" t="str">
        <f>IFERROR(VLOOKUP(F19,TERCEROS[],3,FALSE),"")</f>
        <v>Susanita Perez</v>
      </c>
      <c r="H19" s="145" t="s">
        <v>1559</v>
      </c>
      <c r="I19" s="145">
        <v>31051502</v>
      </c>
      <c r="J19" s="145" t="str">
        <f t="shared" si="0"/>
        <v>SUSANITA PEREZ</v>
      </c>
      <c r="K19" s="149"/>
      <c r="L19" s="149">
        <f>+K18</f>
        <v>20600000</v>
      </c>
      <c r="M19" s="24"/>
    </row>
    <row r="20" spans="1:13" hidden="1" outlineLevel="1" x14ac:dyDescent="0.25">
      <c r="A20" s="145" t="s">
        <v>1553</v>
      </c>
      <c r="B20" s="146" t="s">
        <v>1557</v>
      </c>
      <c r="C20" s="147">
        <v>41640</v>
      </c>
      <c r="D20" s="145"/>
      <c r="E20" s="145"/>
      <c r="F20" s="148">
        <v>1019125029</v>
      </c>
      <c r="G20" s="145" t="str">
        <f>IFERROR(VLOOKUP(F20,TERCEROS[],3,FALSE),"")</f>
        <v>Susanita Perez</v>
      </c>
      <c r="H20" s="145" t="s">
        <v>1563</v>
      </c>
      <c r="I20" s="145">
        <v>152805</v>
      </c>
      <c r="J20" s="145" t="str">
        <f t="shared" si="0"/>
        <v xml:space="preserve">EQUIPOS DE PROCESAMIENTO DE DATOS </v>
      </c>
      <c r="K20" s="149">
        <f>1250000*2</f>
        <v>2500000</v>
      </c>
      <c r="L20" s="149"/>
      <c r="M20" s="24"/>
    </row>
    <row r="21" spans="1:13" hidden="1" outlineLevel="1" x14ac:dyDescent="0.25">
      <c r="A21" s="145" t="s">
        <v>1553</v>
      </c>
      <c r="B21" s="146" t="s">
        <v>1557</v>
      </c>
      <c r="C21" s="147">
        <v>41640</v>
      </c>
      <c r="D21" s="145"/>
      <c r="E21" s="145"/>
      <c r="F21" s="148">
        <v>1019125029</v>
      </c>
      <c r="G21" s="145" t="str">
        <f>IFERROR(VLOOKUP(F21,TERCEROS[],3,FALSE),"")</f>
        <v>Susanita Perez</v>
      </c>
      <c r="H21" s="145" t="s">
        <v>1563</v>
      </c>
      <c r="I21" s="145">
        <v>31051502</v>
      </c>
      <c r="J21" s="145" t="str">
        <f t="shared" si="0"/>
        <v>SUSANITA PEREZ</v>
      </c>
      <c r="K21" s="149"/>
      <c r="L21" s="149">
        <f>+K20</f>
        <v>2500000</v>
      </c>
      <c r="M21" s="24"/>
    </row>
    <row r="22" spans="1:13" hidden="1" outlineLevel="1" x14ac:dyDescent="0.25">
      <c r="A22" s="145" t="s">
        <v>1553</v>
      </c>
      <c r="B22" s="146" t="s">
        <v>1557</v>
      </c>
      <c r="C22" s="147">
        <v>41640</v>
      </c>
      <c r="D22" s="145"/>
      <c r="E22" s="145"/>
      <c r="F22" s="148">
        <v>1019125029</v>
      </c>
      <c r="G22" s="145" t="str">
        <f>IFERROR(VLOOKUP(F22,TERCEROS[],3,FALSE),"")</f>
        <v>Susanita Perez</v>
      </c>
      <c r="H22" s="145" t="s">
        <v>1564</v>
      </c>
      <c r="I22" s="145">
        <v>152405</v>
      </c>
      <c r="J22" s="145" t="str">
        <f t="shared" si="0"/>
        <v xml:space="preserve">MUEBLES Y ENSERES </v>
      </c>
      <c r="K22" s="149">
        <v>1000000</v>
      </c>
      <c r="L22" s="149"/>
      <c r="M22" s="24"/>
    </row>
    <row r="23" spans="1:13" hidden="1" outlineLevel="1" x14ac:dyDescent="0.25">
      <c r="A23" s="145" t="s">
        <v>1553</v>
      </c>
      <c r="B23" s="146" t="s">
        <v>1557</v>
      </c>
      <c r="C23" s="147">
        <v>41640</v>
      </c>
      <c r="D23" s="145"/>
      <c r="E23" s="145"/>
      <c r="F23" s="148">
        <v>1019125029</v>
      </c>
      <c r="G23" s="145" t="str">
        <f>IFERROR(VLOOKUP(F23,TERCEROS[],3,FALSE),"")</f>
        <v>Susanita Perez</v>
      </c>
      <c r="H23" s="145" t="s">
        <v>1564</v>
      </c>
      <c r="I23" s="145">
        <v>31051502</v>
      </c>
      <c r="J23" s="145" t="str">
        <f t="shared" si="0"/>
        <v>SUSANITA PEREZ</v>
      </c>
      <c r="K23" s="149"/>
      <c r="L23" s="149">
        <f>+K22</f>
        <v>1000000</v>
      </c>
      <c r="M23" s="24"/>
    </row>
    <row r="24" spans="1:13" hidden="1" outlineLevel="1" x14ac:dyDescent="0.25">
      <c r="A24" s="145" t="s">
        <v>1553</v>
      </c>
      <c r="B24" s="146" t="s">
        <v>1557</v>
      </c>
      <c r="C24" s="147">
        <v>41640</v>
      </c>
      <c r="D24" s="145"/>
      <c r="E24" s="145"/>
      <c r="F24" s="148">
        <v>1019125029</v>
      </c>
      <c r="G24" s="145" t="str">
        <f>IFERROR(VLOOKUP(F24,TERCEROS[],3,FALSE),"")</f>
        <v>Susanita Perez</v>
      </c>
      <c r="H24" s="145" t="s">
        <v>1565</v>
      </c>
      <c r="I24" s="145">
        <v>152405</v>
      </c>
      <c r="J24" s="145" t="str">
        <f t="shared" si="0"/>
        <v xml:space="preserve">MUEBLES Y ENSERES </v>
      </c>
      <c r="K24" s="149">
        <v>400000</v>
      </c>
      <c r="L24" s="149"/>
      <c r="M24" s="24"/>
    </row>
    <row r="25" spans="1:13" hidden="1" outlineLevel="1" x14ac:dyDescent="0.25">
      <c r="A25" s="145" t="s">
        <v>1553</v>
      </c>
      <c r="B25" s="146" t="s">
        <v>1557</v>
      </c>
      <c r="C25" s="147">
        <v>41640</v>
      </c>
      <c r="D25" s="145"/>
      <c r="E25" s="145"/>
      <c r="F25" s="148">
        <v>1019125029</v>
      </c>
      <c r="G25" s="145" t="str">
        <f>IFERROR(VLOOKUP(F25,TERCEROS[],3,FALSE),"")</f>
        <v>Susanita Perez</v>
      </c>
      <c r="H25" s="145" t="s">
        <v>1565</v>
      </c>
      <c r="I25" s="145">
        <v>31051502</v>
      </c>
      <c r="J25" s="145" t="str">
        <f t="shared" si="0"/>
        <v>SUSANITA PEREZ</v>
      </c>
      <c r="K25" s="149"/>
      <c r="L25" s="149">
        <f>+K24</f>
        <v>400000</v>
      </c>
      <c r="M25" s="24"/>
    </row>
    <row r="26" spans="1:13" hidden="1" outlineLevel="1" x14ac:dyDescent="0.25">
      <c r="A26" s="145" t="s">
        <v>1553</v>
      </c>
      <c r="B26" s="146" t="s">
        <v>1557</v>
      </c>
      <c r="C26" s="147">
        <v>41640</v>
      </c>
      <c r="D26" s="145"/>
      <c r="E26" s="145"/>
      <c r="F26" s="148">
        <v>1019125029</v>
      </c>
      <c r="G26" s="145" t="str">
        <f>IFERROR(VLOOKUP(F26,TERCEROS[],3,FALSE),"")</f>
        <v>Susanita Perez</v>
      </c>
      <c r="H26" s="145" t="s">
        <v>1566</v>
      </c>
      <c r="I26" s="145">
        <v>171020</v>
      </c>
      <c r="J26" s="145" t="str">
        <f t="shared" si="0"/>
        <v xml:space="preserve">UTILES Y PAPELERIA </v>
      </c>
      <c r="K26" s="149">
        <v>500000</v>
      </c>
      <c r="L26" s="149"/>
      <c r="M26" s="24"/>
    </row>
    <row r="27" spans="1:13" hidden="1" outlineLevel="1" x14ac:dyDescent="0.25">
      <c r="A27" s="145" t="s">
        <v>1553</v>
      </c>
      <c r="B27" s="146" t="s">
        <v>1557</v>
      </c>
      <c r="C27" s="147">
        <v>41640</v>
      </c>
      <c r="D27" s="145"/>
      <c r="E27" s="145"/>
      <c r="F27" s="148">
        <v>1019125029</v>
      </c>
      <c r="G27" s="145" t="str">
        <f>IFERROR(VLOOKUP(F27,TERCEROS[],3,FALSE),"")</f>
        <v>Susanita Perez</v>
      </c>
      <c r="H27" s="145" t="s">
        <v>1566</v>
      </c>
      <c r="I27" s="145">
        <v>31051502</v>
      </c>
      <c r="J27" s="145" t="str">
        <f t="shared" si="0"/>
        <v>SUSANITA PEREZ</v>
      </c>
      <c r="K27" s="149"/>
      <c r="L27" s="149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4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4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5" t="s">
        <v>1573</v>
      </c>
      <c r="B30" s="146" t="s">
        <v>1554</v>
      </c>
      <c r="C30" s="147">
        <v>41643</v>
      </c>
      <c r="D30" s="145"/>
      <c r="E30" s="145"/>
      <c r="F30" s="148">
        <v>1019125029</v>
      </c>
      <c r="G30" s="145" t="str">
        <f>IFERROR(VLOOKUP(F30,TERCEROS[],3,FALSE),"")</f>
        <v>Susanita Perez</v>
      </c>
      <c r="H30" s="145" t="s">
        <v>1574</v>
      </c>
      <c r="I30" s="145">
        <v>110510</v>
      </c>
      <c r="J30" s="145" t="str">
        <f t="shared" si="0"/>
        <v xml:space="preserve">CAJAS MENORES </v>
      </c>
      <c r="K30" s="149">
        <v>400000</v>
      </c>
      <c r="L30" s="149"/>
      <c r="M30" s="24"/>
    </row>
    <row r="31" spans="1:13" hidden="1" outlineLevel="1" x14ac:dyDescent="0.25">
      <c r="A31" s="145" t="s">
        <v>1573</v>
      </c>
      <c r="B31" s="146" t="s">
        <v>1554</v>
      </c>
      <c r="C31" s="147">
        <v>41643</v>
      </c>
      <c r="D31" s="145"/>
      <c r="E31" s="145"/>
      <c r="F31" s="148">
        <v>1019125029</v>
      </c>
      <c r="G31" s="145" t="str">
        <f>IFERROR(VLOOKUP(F31,TERCEROS[],3,FALSE),"")</f>
        <v>Susanita Perez</v>
      </c>
      <c r="H31" s="145" t="s">
        <v>1574</v>
      </c>
      <c r="I31" s="145">
        <v>1110050501</v>
      </c>
      <c r="J31" s="145" t="str">
        <f t="shared" si="0"/>
        <v>CUENTA CORRIENTE NO. 074-604125-08</v>
      </c>
      <c r="K31" s="149"/>
      <c r="L31" s="149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4">
        <v>41643</v>
      </c>
      <c r="D32" s="22" t="s">
        <v>1576</v>
      </c>
      <c r="E32" s="144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4">
        <v>41643</v>
      </c>
      <c r="D33" s="22" t="s">
        <v>1576</v>
      </c>
      <c r="E33" s="144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4">
        <v>41643</v>
      </c>
      <c r="D34" s="22" t="s">
        <v>1576</v>
      </c>
      <c r="E34" s="144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4">
        <v>41643</v>
      </c>
      <c r="D35" s="22" t="s">
        <v>1576</v>
      </c>
      <c r="E35" s="144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4">
        <v>41643</v>
      </c>
      <c r="D36" s="22" t="s">
        <v>1576</v>
      </c>
      <c r="E36" s="144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5" t="s">
        <v>1573</v>
      </c>
      <c r="B37" s="146" t="s">
        <v>1557</v>
      </c>
      <c r="C37" s="147">
        <v>41643</v>
      </c>
      <c r="D37" s="145" t="s">
        <v>1576</v>
      </c>
      <c r="E37" s="147">
        <v>41643</v>
      </c>
      <c r="F37" s="148">
        <v>45256287</v>
      </c>
      <c r="G37" s="145" t="str">
        <f>IFERROR(VLOOKUP(F37,TERCEROS[],3,FALSE),"")</f>
        <v>FELIPE MOLINA</v>
      </c>
      <c r="H37" s="145" t="s">
        <v>1579</v>
      </c>
      <c r="I37" s="145">
        <v>233525</v>
      </c>
      <c r="J37" s="145" t="str">
        <f t="shared" si="0"/>
        <v xml:space="preserve">HONORARIOS </v>
      </c>
      <c r="K37" s="149">
        <f>+L36</f>
        <v>1191720</v>
      </c>
      <c r="L37" s="149"/>
      <c r="M37" s="24"/>
    </row>
    <row r="38" spans="1:13" hidden="1" outlineLevel="1" x14ac:dyDescent="0.25">
      <c r="A38" s="145" t="s">
        <v>1573</v>
      </c>
      <c r="B38" s="146" t="s">
        <v>1557</v>
      </c>
      <c r="C38" s="147">
        <v>41643</v>
      </c>
      <c r="D38" s="145" t="s">
        <v>1576</v>
      </c>
      <c r="E38" s="147">
        <v>41643</v>
      </c>
      <c r="F38" s="148">
        <v>45256287</v>
      </c>
      <c r="G38" s="145" t="str">
        <f>IFERROR(VLOOKUP(F38,TERCEROS[],3,FALSE),"")</f>
        <v>FELIPE MOLINA</v>
      </c>
      <c r="H38" s="145" t="s">
        <v>1579</v>
      </c>
      <c r="I38" s="145">
        <v>1110050501</v>
      </c>
      <c r="J38" s="145" t="str">
        <f t="shared" si="0"/>
        <v>CUENTA CORRIENTE NO. 074-604125-08</v>
      </c>
      <c r="K38" s="149"/>
      <c r="L38" s="149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4">
        <v>41644</v>
      </c>
      <c r="D39" s="22">
        <v>455228</v>
      </c>
      <c r="E39" s="144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4">
        <v>41644</v>
      </c>
      <c r="D40" s="22">
        <v>455228</v>
      </c>
      <c r="E40" s="144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4">
        <v>41645</v>
      </c>
      <c r="D41" s="22" t="s">
        <v>1585</v>
      </c>
      <c r="E41" s="144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4">
        <v>41645</v>
      </c>
      <c r="D42" s="22" t="s">
        <v>1585</v>
      </c>
      <c r="E42" s="144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4">
        <v>41645</v>
      </c>
      <c r="D43" s="22" t="s">
        <v>1585</v>
      </c>
      <c r="E43" s="144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4">
        <v>41645</v>
      </c>
      <c r="D44" s="22" t="s">
        <v>1585</v>
      </c>
      <c r="E44" s="144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5" t="s">
        <v>1573</v>
      </c>
      <c r="B45" s="146" t="s">
        <v>1588</v>
      </c>
      <c r="C45" s="147">
        <v>41645</v>
      </c>
      <c r="D45" s="145" t="s">
        <v>1585</v>
      </c>
      <c r="E45" s="147">
        <f t="shared" si="1"/>
        <v>41645</v>
      </c>
      <c r="F45" s="148">
        <v>860999777</v>
      </c>
      <c r="G45" s="145" t="str">
        <f>IFERROR(VLOOKUP(F45,TERCEROS[],3,FALSE),"")</f>
        <v>TENZA S.A.</v>
      </c>
      <c r="H45" s="145" t="s">
        <v>1589</v>
      </c>
      <c r="I45" s="145">
        <v>233540</v>
      </c>
      <c r="J45" s="145" t="str">
        <f t="shared" si="0"/>
        <v xml:space="preserve">ARRENDAMIENTOS </v>
      </c>
      <c r="K45" s="149">
        <f>+L44</f>
        <v>1702500</v>
      </c>
      <c r="L45" s="149"/>
      <c r="M45" s="149"/>
    </row>
    <row r="46" spans="1:13" hidden="1" outlineLevel="1" x14ac:dyDescent="0.25">
      <c r="A46" s="145" t="s">
        <v>1573</v>
      </c>
      <c r="B46" s="146" t="s">
        <v>1588</v>
      </c>
      <c r="C46" s="147">
        <v>41645</v>
      </c>
      <c r="D46" s="145" t="s">
        <v>1585</v>
      </c>
      <c r="E46" s="147">
        <f t="shared" ref="E46" si="2">+C46</f>
        <v>41645</v>
      </c>
      <c r="F46" s="148">
        <v>860999777</v>
      </c>
      <c r="G46" s="145" t="str">
        <f>IFERROR(VLOOKUP(F46,TERCEROS[],3,FALSE),"")</f>
        <v>TENZA S.A.</v>
      </c>
      <c r="H46" s="145" t="s">
        <v>1589</v>
      </c>
      <c r="I46" s="145">
        <v>1110050501</v>
      </c>
      <c r="J46" s="145" t="str">
        <f t="shared" si="0"/>
        <v>CUENTA CORRIENTE NO. 074-604125-08</v>
      </c>
      <c r="K46" s="149"/>
      <c r="L46" s="149">
        <f>+K45</f>
        <v>1702500</v>
      </c>
      <c r="M46" s="149" t="s">
        <v>1590</v>
      </c>
    </row>
    <row r="47" spans="1:13" hidden="1" outlineLevel="1" x14ac:dyDescent="0.25">
      <c r="A47" s="22" t="s">
        <v>1575</v>
      </c>
      <c r="B47" s="29" t="s">
        <v>1571</v>
      </c>
      <c r="C47" s="144">
        <v>41646</v>
      </c>
      <c r="D47" s="22">
        <v>10</v>
      </c>
      <c r="E47" s="144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4">
        <v>41646</v>
      </c>
      <c r="D48" s="22">
        <v>10</v>
      </c>
      <c r="E48" s="144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4">
        <v>41646</v>
      </c>
      <c r="D49" s="22">
        <v>10</v>
      </c>
      <c r="E49" s="144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4">
        <v>41646</v>
      </c>
      <c r="D50" s="22">
        <v>10</v>
      </c>
      <c r="E50" s="144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4">
        <v>41646</v>
      </c>
      <c r="D51" s="22">
        <v>10</v>
      </c>
      <c r="E51" s="144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4">
        <v>41646</v>
      </c>
      <c r="D52" s="22">
        <v>10</v>
      </c>
      <c r="E52" s="144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5" t="s">
        <v>1573</v>
      </c>
      <c r="B53" s="146" t="s">
        <v>1594</v>
      </c>
      <c r="C53" s="147">
        <f>+C52</f>
        <v>41646</v>
      </c>
      <c r="D53" s="145">
        <v>10</v>
      </c>
      <c r="E53" s="147">
        <f t="shared" si="3"/>
        <v>41646</v>
      </c>
      <c r="F53" s="148">
        <v>58455630</v>
      </c>
      <c r="G53" s="145" t="str">
        <f>IFERROR(VLOOKUP(F53,TERCEROS[],3,FALSE),"")</f>
        <v xml:space="preserve">Pedro Mercado </v>
      </c>
      <c r="H53" s="145" t="s">
        <v>1595</v>
      </c>
      <c r="I53" s="145">
        <v>233535</v>
      </c>
      <c r="J53" s="145" t="str">
        <f t="shared" si="0"/>
        <v xml:space="preserve">SERVICIOS DE MANTENIMIENTO </v>
      </c>
      <c r="K53" s="149">
        <f>+L52</f>
        <v>135299.5</v>
      </c>
      <c r="L53" s="149"/>
      <c r="M53" s="149"/>
    </row>
    <row r="54" spans="1:13" hidden="1" outlineLevel="1" x14ac:dyDescent="0.25">
      <c r="A54" s="145" t="s">
        <v>1573</v>
      </c>
      <c r="B54" s="146" t="s">
        <v>1594</v>
      </c>
      <c r="C54" s="147">
        <f>+C53</f>
        <v>41646</v>
      </c>
      <c r="D54" s="145">
        <v>10</v>
      </c>
      <c r="E54" s="147">
        <f t="shared" ref="E54" si="4">+C54</f>
        <v>41646</v>
      </c>
      <c r="F54" s="148">
        <v>58455630</v>
      </c>
      <c r="G54" s="145" t="str">
        <f>IFERROR(VLOOKUP(F54,TERCEROS[],3,FALSE),"")</f>
        <v xml:space="preserve">Pedro Mercado </v>
      </c>
      <c r="H54" s="145" t="s">
        <v>1595</v>
      </c>
      <c r="I54" s="145">
        <v>1110050501</v>
      </c>
      <c r="J54" s="145" t="str">
        <f t="shared" si="0"/>
        <v>CUENTA CORRIENTE NO. 074-604125-08</v>
      </c>
      <c r="K54" s="149"/>
      <c r="L54" s="149">
        <f>+K53</f>
        <v>135299.5</v>
      </c>
      <c r="M54" s="149" t="s">
        <v>1596</v>
      </c>
    </row>
    <row r="55" spans="1:13" hidden="1" outlineLevel="1" x14ac:dyDescent="0.25">
      <c r="A55" s="22" t="s">
        <v>1575</v>
      </c>
      <c r="B55" s="29" t="s">
        <v>1588</v>
      </c>
      <c r="C55" s="144">
        <v>41647</v>
      </c>
      <c r="D55" s="22">
        <v>4526</v>
      </c>
      <c r="E55" s="144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4">
        <v>41647</v>
      </c>
      <c r="D56" s="22">
        <v>4526</v>
      </c>
      <c r="E56" s="144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4">
        <v>41647</v>
      </c>
      <c r="D57" s="22">
        <v>4526</v>
      </c>
      <c r="E57" s="144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4">
        <v>41647</v>
      </c>
      <c r="D58" s="22">
        <v>4526</v>
      </c>
      <c r="E58" s="144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5" t="s">
        <v>1573</v>
      </c>
      <c r="B59" s="146" t="s">
        <v>1600</v>
      </c>
      <c r="C59" s="147">
        <v>41647</v>
      </c>
      <c r="D59" s="145">
        <v>4526</v>
      </c>
      <c r="E59" s="147">
        <f t="shared" si="5"/>
        <v>41647</v>
      </c>
      <c r="F59" s="148">
        <v>900225587</v>
      </c>
      <c r="G59" s="145" t="str">
        <f>IFERROR(VLOOKUP(F59,TERCEROS[],3,FALSE),"")</f>
        <v>LITOGRAFIA DIGITAL LTDA</v>
      </c>
      <c r="H59" s="145" t="s">
        <v>1601</v>
      </c>
      <c r="I59" s="145">
        <v>233595</v>
      </c>
      <c r="J59" s="145" t="str">
        <f t="shared" si="0"/>
        <v xml:space="preserve">OTROS </v>
      </c>
      <c r="K59" s="149">
        <f>+L58</f>
        <v>724137.9310344829</v>
      </c>
      <c r="L59" s="149"/>
      <c r="M59" s="149"/>
    </row>
    <row r="60" spans="1:13" hidden="1" outlineLevel="1" x14ac:dyDescent="0.25">
      <c r="A60" s="145" t="s">
        <v>1573</v>
      </c>
      <c r="B60" s="146" t="s">
        <v>1600</v>
      </c>
      <c r="C60" s="147">
        <v>41647</v>
      </c>
      <c r="D60" s="145">
        <v>4526</v>
      </c>
      <c r="E60" s="147">
        <f t="shared" ref="E60" si="6">+C60</f>
        <v>41647</v>
      </c>
      <c r="F60" s="148">
        <v>900225587</v>
      </c>
      <c r="G60" s="145" t="str">
        <f>IFERROR(VLOOKUP(F60,TERCEROS[],3,FALSE),"")</f>
        <v>LITOGRAFIA DIGITAL LTDA</v>
      </c>
      <c r="H60" s="145" t="s">
        <v>1601</v>
      </c>
      <c r="I60" s="145">
        <v>1110050501</v>
      </c>
      <c r="J60" s="145" t="str">
        <f t="shared" si="0"/>
        <v>CUENTA CORRIENTE NO. 074-604125-08</v>
      </c>
      <c r="K60" s="149"/>
      <c r="L60" s="149">
        <f>+K59</f>
        <v>724137.9310344829</v>
      </c>
      <c r="M60" s="149" t="s">
        <v>1602</v>
      </c>
    </row>
    <row r="61" spans="1:13" hidden="1" outlineLevel="1" x14ac:dyDescent="0.25">
      <c r="A61" s="22" t="s">
        <v>1575</v>
      </c>
      <c r="B61" s="29" t="s">
        <v>1594</v>
      </c>
      <c r="C61" s="144">
        <v>41648</v>
      </c>
      <c r="D61" s="22">
        <v>77512</v>
      </c>
      <c r="E61" s="144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4">
        <v>41648</v>
      </c>
      <c r="D62" s="22">
        <v>77512</v>
      </c>
      <c r="E62" s="144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4">
        <v>41648</v>
      </c>
      <c r="D63" s="22">
        <v>77512</v>
      </c>
      <c r="E63" s="144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7" customFormat="1" hidden="1" outlineLevel="1" x14ac:dyDescent="0.25">
      <c r="A64" s="145" t="s">
        <v>1575</v>
      </c>
      <c r="B64" s="146" t="s">
        <v>1600</v>
      </c>
      <c r="C64" s="147">
        <v>41649</v>
      </c>
      <c r="D64" s="145" t="s">
        <v>1611</v>
      </c>
      <c r="E64" s="147">
        <f>+C64</f>
        <v>41649</v>
      </c>
      <c r="F64" s="148">
        <v>900364287</v>
      </c>
      <c r="G64" s="145" t="str">
        <f>IFERROR(VLOOKUP(F64,TERCEROS[],3,FALSE),"")</f>
        <v>FABRIWEAR LTDA</v>
      </c>
      <c r="H64" s="145" t="s">
        <v>1612</v>
      </c>
      <c r="I64" s="145">
        <v>14352401</v>
      </c>
      <c r="J64" s="145" t="str">
        <f t="shared" si="0"/>
        <v>DE PANTALONES</v>
      </c>
      <c r="K64" s="149">
        <v>1000000</v>
      </c>
      <c r="L64" s="149"/>
      <c r="M64" s="149"/>
    </row>
    <row r="65" spans="1:13" s="157" customFormat="1" hidden="1" outlineLevel="1" x14ac:dyDescent="0.25">
      <c r="A65" s="145" t="s">
        <v>1575</v>
      </c>
      <c r="B65" s="146" t="s">
        <v>1600</v>
      </c>
      <c r="C65" s="147">
        <v>41649</v>
      </c>
      <c r="D65" s="145" t="s">
        <v>1611</v>
      </c>
      <c r="E65" s="147">
        <f t="shared" ref="E65:E67" si="8">+C65</f>
        <v>41649</v>
      </c>
      <c r="F65" s="148">
        <v>900364287</v>
      </c>
      <c r="G65" s="145" t="str">
        <f>IFERROR(VLOOKUP(F65,TERCEROS[],3,FALSE),"")</f>
        <v>FABRIWEAR LTDA</v>
      </c>
      <c r="H65" s="145" t="s">
        <v>1612</v>
      </c>
      <c r="I65" s="145">
        <v>240802</v>
      </c>
      <c r="J65" s="145" t="str">
        <f t="shared" si="0"/>
        <v>IVA DESCONTABLE</v>
      </c>
      <c r="K65" s="149">
        <f>+K64*0.16</f>
        <v>160000</v>
      </c>
      <c r="L65" s="149"/>
      <c r="M65" s="149"/>
    </row>
    <row r="66" spans="1:13" s="157" customFormat="1" hidden="1" outlineLevel="1" x14ac:dyDescent="0.25">
      <c r="A66" s="145" t="s">
        <v>1575</v>
      </c>
      <c r="B66" s="146" t="s">
        <v>1600</v>
      </c>
      <c r="C66" s="147">
        <v>41649</v>
      </c>
      <c r="D66" s="145" t="s">
        <v>1611</v>
      </c>
      <c r="E66" s="147">
        <f t="shared" si="8"/>
        <v>41649</v>
      </c>
      <c r="F66" s="148">
        <v>900364287</v>
      </c>
      <c r="G66" s="145" t="str">
        <f>IFERROR(VLOOKUP(F66,TERCEROS[],3,FALSE),"")</f>
        <v>FABRIWEAR LTDA</v>
      </c>
      <c r="H66" s="145" t="s">
        <v>1612</v>
      </c>
      <c r="I66" s="145">
        <v>23654001</v>
      </c>
      <c r="J66" s="145" t="str">
        <f t="shared" si="0"/>
        <v>COMPRAS P.J. 2,5%</v>
      </c>
      <c r="K66" s="149"/>
      <c r="L66" s="149">
        <f>+K64*2.5/100</f>
        <v>25000</v>
      </c>
      <c r="M66" s="149"/>
    </row>
    <row r="67" spans="1:13" s="157" customFormat="1" hidden="1" outlineLevel="1" x14ac:dyDescent="0.25">
      <c r="A67" s="145" t="s">
        <v>1575</v>
      </c>
      <c r="B67" s="146" t="s">
        <v>1600</v>
      </c>
      <c r="C67" s="147">
        <v>41649</v>
      </c>
      <c r="D67" s="145" t="s">
        <v>1611</v>
      </c>
      <c r="E67" s="147">
        <f t="shared" si="8"/>
        <v>41649</v>
      </c>
      <c r="F67" s="148">
        <v>900364287</v>
      </c>
      <c r="G67" s="145" t="str">
        <f>IFERROR(VLOOKUP(F67,TERCEROS[],3,FALSE),"")</f>
        <v>FABRIWEAR LTDA</v>
      </c>
      <c r="H67" s="145" t="s">
        <v>1612</v>
      </c>
      <c r="I67" s="145">
        <v>220501</v>
      </c>
      <c r="J67" s="145" t="str">
        <f t="shared" si="0"/>
        <v>PROVEEDORES NACIONALES</v>
      </c>
      <c r="K67" s="149"/>
      <c r="L67" s="149">
        <f>+K64+K65-L66</f>
        <v>1135000</v>
      </c>
      <c r="M67" s="149"/>
    </row>
    <row r="68" spans="1:13" hidden="1" outlineLevel="1" x14ac:dyDescent="0.25">
      <c r="A68" s="22" t="s">
        <v>1575</v>
      </c>
      <c r="B68" s="29" t="s">
        <v>1620</v>
      </c>
      <c r="C68" s="144">
        <v>41649</v>
      </c>
      <c r="D68" s="22">
        <v>66531</v>
      </c>
      <c r="E68" s="144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4">
        <v>41649</v>
      </c>
      <c r="D69" s="22">
        <v>66531</v>
      </c>
      <c r="E69" s="144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4">
        <v>41649</v>
      </c>
      <c r="D70" s="22">
        <v>66531</v>
      </c>
      <c r="E70" s="144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4">
        <v>41649</v>
      </c>
      <c r="D71" s="22">
        <v>66531</v>
      </c>
      <c r="E71" s="144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5" t="s">
        <v>1573</v>
      </c>
      <c r="B72" s="146" t="s">
        <v>1620</v>
      </c>
      <c r="C72" s="147">
        <f>+C71</f>
        <v>41649</v>
      </c>
      <c r="D72" s="145">
        <v>66531</v>
      </c>
      <c r="E72" s="147">
        <f t="shared" si="10"/>
        <v>41649</v>
      </c>
      <c r="F72" s="148">
        <v>900542357</v>
      </c>
      <c r="G72" s="145" t="str">
        <f>IFERROR(VLOOKUP(F72,TERCEROS[],3,FALSE),"")</f>
        <v>LA CASA DE LA ROPA S.A.S</v>
      </c>
      <c r="H72" s="145" t="s">
        <v>1622</v>
      </c>
      <c r="I72" s="145">
        <v>220501</v>
      </c>
      <c r="J72" s="145" t="str">
        <f t="shared" si="9"/>
        <v>PROVEEDORES NACIONALES</v>
      </c>
      <c r="K72" s="149">
        <f>+L71*50%</f>
        <v>476700</v>
      </c>
      <c r="L72" s="149"/>
      <c r="M72" s="149"/>
    </row>
    <row r="73" spans="1:13" hidden="1" outlineLevel="1" x14ac:dyDescent="0.25">
      <c r="A73" s="145" t="s">
        <v>1573</v>
      </c>
      <c r="B73" s="146" t="s">
        <v>1620</v>
      </c>
      <c r="C73" s="147">
        <f>+C72</f>
        <v>41649</v>
      </c>
      <c r="D73" s="145">
        <v>66531</v>
      </c>
      <c r="E73" s="147">
        <f t="shared" ref="E73" si="11">+C73</f>
        <v>41649</v>
      </c>
      <c r="F73" s="148">
        <v>900542357</v>
      </c>
      <c r="G73" s="145" t="str">
        <f>IFERROR(VLOOKUP(F73,TERCEROS[],3,FALSE),"")</f>
        <v>LA CASA DE LA ROPA S.A.S</v>
      </c>
      <c r="H73" s="145" t="s">
        <v>1622</v>
      </c>
      <c r="I73" s="145">
        <v>1110050501</v>
      </c>
      <c r="J73" s="145" t="str">
        <f t="shared" si="9"/>
        <v>CUENTA CORRIENTE NO. 074-604125-08</v>
      </c>
      <c r="K73" s="149"/>
      <c r="L73" s="149">
        <f>+K72</f>
        <v>476700</v>
      </c>
      <c r="M73" s="149" t="s">
        <v>1623</v>
      </c>
    </row>
    <row r="74" spans="1:13" hidden="1" outlineLevel="1" x14ac:dyDescent="0.25">
      <c r="A74" s="22" t="s">
        <v>1627</v>
      </c>
      <c r="B74" s="29" t="s">
        <v>1554</v>
      </c>
      <c r="C74" s="144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4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4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4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4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4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4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5" t="s">
        <v>1642</v>
      </c>
      <c r="B81" s="146" t="s">
        <v>1554</v>
      </c>
      <c r="C81" s="147">
        <v>41650</v>
      </c>
      <c r="D81" s="145"/>
      <c r="E81" s="145"/>
      <c r="F81" s="148">
        <v>1045269523</v>
      </c>
      <c r="G81" s="145" t="s">
        <v>1628</v>
      </c>
      <c r="H81" s="145" t="s">
        <v>1643</v>
      </c>
      <c r="I81" s="145">
        <v>130505</v>
      </c>
      <c r="J81" s="145" t="s">
        <v>118</v>
      </c>
      <c r="K81" s="149"/>
      <c r="L81" s="149">
        <v>304500</v>
      </c>
      <c r="M81" s="24"/>
    </row>
    <row r="82" spans="1:13" hidden="1" outlineLevel="1" x14ac:dyDescent="0.25">
      <c r="A82" s="145" t="s">
        <v>1642</v>
      </c>
      <c r="B82" s="146" t="s">
        <v>1554</v>
      </c>
      <c r="C82" s="147">
        <v>41650</v>
      </c>
      <c r="D82" s="145"/>
      <c r="E82" s="145"/>
      <c r="F82" s="148">
        <v>1045269523</v>
      </c>
      <c r="G82" s="145" t="s">
        <v>1628</v>
      </c>
      <c r="H82" s="145" t="s">
        <v>1643</v>
      </c>
      <c r="I82" s="145">
        <v>110505</v>
      </c>
      <c r="J82" s="145" t="s">
        <v>17</v>
      </c>
      <c r="K82" s="149">
        <v>304500</v>
      </c>
      <c r="L82" s="149"/>
      <c r="M82" s="24"/>
    </row>
    <row r="83" spans="1:13" hidden="1" outlineLevel="1" x14ac:dyDescent="0.25">
      <c r="A83" s="22" t="s">
        <v>1575</v>
      </c>
      <c r="B83" s="29" t="s">
        <v>1634</v>
      </c>
      <c r="C83" s="144">
        <v>41651</v>
      </c>
      <c r="D83" s="22">
        <v>4253</v>
      </c>
      <c r="E83" s="144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4">
        <v>41651</v>
      </c>
      <c r="D84" s="22">
        <v>4253</v>
      </c>
      <c r="E84" s="144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4">
        <v>41651</v>
      </c>
      <c r="D85" s="22">
        <v>4253</v>
      </c>
      <c r="E85" s="144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4">
        <v>41651</v>
      </c>
      <c r="D86" s="22">
        <v>4253</v>
      </c>
      <c r="E86" s="144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4">
        <v>41651</v>
      </c>
      <c r="D87" s="22">
        <v>4253</v>
      </c>
      <c r="E87" s="144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4">
        <v>41651</v>
      </c>
      <c r="D88" s="22">
        <v>4253</v>
      </c>
      <c r="E88" s="144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5" t="s">
        <v>1573</v>
      </c>
      <c r="B89" s="146" t="s">
        <v>1634</v>
      </c>
      <c r="C89" s="147">
        <v>41651</v>
      </c>
      <c r="D89" s="145">
        <v>4253</v>
      </c>
      <c r="E89" s="147">
        <f t="shared" si="12"/>
        <v>41651</v>
      </c>
      <c r="F89" s="148">
        <v>85365455</v>
      </c>
      <c r="G89" s="145" t="str">
        <f>IFERROR(VLOOKUP(F89,TERCEROS[],3,FALSE),"")</f>
        <v>SOFIA MURILLO</v>
      </c>
      <c r="H89" s="145" t="s">
        <v>1639</v>
      </c>
      <c r="I89" s="145">
        <v>220501</v>
      </c>
      <c r="J89" s="145" t="str">
        <f t="shared" si="9"/>
        <v>PROVEEDORES NACIONALES</v>
      </c>
      <c r="K89" s="149">
        <f>+L88*0.3</f>
        <v>282392.08199999999</v>
      </c>
      <c r="L89" s="149"/>
      <c r="M89" s="149"/>
    </row>
    <row r="90" spans="1:13" hidden="1" outlineLevel="1" x14ac:dyDescent="0.25">
      <c r="A90" s="145" t="s">
        <v>1573</v>
      </c>
      <c r="B90" s="146" t="s">
        <v>1634</v>
      </c>
      <c r="C90" s="147">
        <v>41651</v>
      </c>
      <c r="D90" s="145">
        <v>4253</v>
      </c>
      <c r="E90" s="147">
        <f t="shared" ref="E90" si="13">+C90</f>
        <v>41651</v>
      </c>
      <c r="F90" s="148">
        <v>85365455</v>
      </c>
      <c r="G90" s="145" t="str">
        <f>IFERROR(VLOOKUP(F90,TERCEROS[],3,FALSE),"")</f>
        <v>SOFIA MURILLO</v>
      </c>
      <c r="H90" s="145" t="s">
        <v>1639</v>
      </c>
      <c r="I90" s="145">
        <v>1110050501</v>
      </c>
      <c r="J90" s="145" t="str">
        <f t="shared" si="9"/>
        <v>CUENTA CORRIENTE NO. 074-604125-08</v>
      </c>
      <c r="K90" s="149"/>
      <c r="L90" s="149">
        <f>+K89</f>
        <v>282392.08199999999</v>
      </c>
      <c r="M90" s="149" t="s">
        <v>1638</v>
      </c>
    </row>
    <row r="91" spans="1:13" hidden="1" outlineLevel="1" x14ac:dyDescent="0.25">
      <c r="A91" s="22" t="s">
        <v>1627</v>
      </c>
      <c r="B91" s="29" t="s">
        <v>1557</v>
      </c>
      <c r="C91" s="144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4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4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4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4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4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2" t="s">
        <v>1557</v>
      </c>
      <c r="C97" s="163">
        <v>41652</v>
      </c>
      <c r="D97" s="30"/>
      <c r="E97" s="30"/>
      <c r="F97" s="164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5">
        <v>700000</v>
      </c>
      <c r="L97" s="165"/>
      <c r="M97" s="24"/>
    </row>
    <row r="98" spans="1:13" hidden="1" outlineLevel="1" x14ac:dyDescent="0.25">
      <c r="A98" s="30" t="s">
        <v>1627</v>
      </c>
      <c r="B98" s="162" t="s">
        <v>1557</v>
      </c>
      <c r="C98" s="163">
        <v>41652</v>
      </c>
      <c r="D98" s="30"/>
      <c r="E98" s="30"/>
      <c r="F98" s="164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5"/>
      <c r="L98" s="165">
        <f>+K97</f>
        <v>700000</v>
      </c>
      <c r="M98" s="24"/>
    </row>
    <row r="99" spans="1:13" hidden="1" outlineLevel="1" x14ac:dyDescent="0.25">
      <c r="A99" s="145" t="s">
        <v>1627</v>
      </c>
      <c r="B99" s="146" t="s">
        <v>1571</v>
      </c>
      <c r="C99" s="147">
        <v>41653</v>
      </c>
      <c r="D99" s="145"/>
      <c r="E99" s="145"/>
      <c r="F99" s="148">
        <v>860524608</v>
      </c>
      <c r="G99" s="145" t="str">
        <f>IFERROR(VLOOKUP(F99,TERCEROS[],3,FALSE),"")</f>
        <v>ALMACEN TORONTO</v>
      </c>
      <c r="H99" s="145" t="s">
        <v>1650</v>
      </c>
      <c r="I99" s="145">
        <v>41352403</v>
      </c>
      <c r="J99" s="145" t="str">
        <f t="shared" si="9"/>
        <v>VENTA DE PANTALONETAS</v>
      </c>
      <c r="K99" s="149"/>
      <c r="L99" s="149">
        <f>80*9850</f>
        <v>788000</v>
      </c>
      <c r="M99" s="24"/>
    </row>
    <row r="100" spans="1:13" hidden="1" outlineLevel="1" x14ac:dyDescent="0.25">
      <c r="A100" s="145" t="s">
        <v>1627</v>
      </c>
      <c r="B100" s="146" t="s">
        <v>1571</v>
      </c>
      <c r="C100" s="147">
        <v>41653</v>
      </c>
      <c r="D100" s="145"/>
      <c r="E100" s="145"/>
      <c r="F100" s="148">
        <v>860524608</v>
      </c>
      <c r="G100" s="145" t="str">
        <f>IFERROR(VLOOKUP(F100,TERCEROS[],3,FALSE),"")</f>
        <v>ALMACEN TORONTO</v>
      </c>
      <c r="H100" s="145" t="s">
        <v>1650</v>
      </c>
      <c r="I100" s="145">
        <v>240802</v>
      </c>
      <c r="J100" s="145" t="str">
        <f t="shared" si="9"/>
        <v>IVA DESCONTABLE</v>
      </c>
      <c r="K100" s="149"/>
      <c r="L100" s="149">
        <f>+L99*0.16</f>
        <v>126080</v>
      </c>
      <c r="M100" s="24"/>
    </row>
    <row r="101" spans="1:13" hidden="1" outlineLevel="1" x14ac:dyDescent="0.25">
      <c r="A101" s="145" t="s">
        <v>1627</v>
      </c>
      <c r="B101" s="146" t="s">
        <v>1571</v>
      </c>
      <c r="C101" s="147">
        <v>41653</v>
      </c>
      <c r="D101" s="145"/>
      <c r="E101" s="145"/>
      <c r="F101" s="148">
        <v>860524608</v>
      </c>
      <c r="G101" s="145" t="str">
        <f>IFERROR(VLOOKUP(F101,TERCEROS[],3,FALSE),"")</f>
        <v>ALMACEN TORONTO</v>
      </c>
      <c r="H101" s="145" t="s">
        <v>1650</v>
      </c>
      <c r="I101" s="145">
        <v>23657001</v>
      </c>
      <c r="J101" s="145" t="str">
        <f t="shared" si="9"/>
        <v>(INUTILIZABLE) AUTORETENC POR CREE 0,4%</v>
      </c>
      <c r="K101" s="149"/>
      <c r="L101" s="149">
        <f>+L99*0.4/100</f>
        <v>3152</v>
      </c>
      <c r="M101" s="24"/>
    </row>
    <row r="102" spans="1:13" hidden="1" outlineLevel="1" x14ac:dyDescent="0.25">
      <c r="A102" s="145" t="s">
        <v>1627</v>
      </c>
      <c r="B102" s="146" t="s">
        <v>1571</v>
      </c>
      <c r="C102" s="147">
        <v>41653</v>
      </c>
      <c r="D102" s="145"/>
      <c r="E102" s="145"/>
      <c r="F102" s="148">
        <v>860524608</v>
      </c>
      <c r="G102" s="145" t="str">
        <f>IFERROR(VLOOKUP(F102,TERCEROS[],3,FALSE),"")</f>
        <v>ALMACEN TORONTO</v>
      </c>
      <c r="H102" s="145" t="s">
        <v>1650</v>
      </c>
      <c r="I102" s="145">
        <v>13559501</v>
      </c>
      <c r="J102" s="145" t="str">
        <f t="shared" si="9"/>
        <v>ANT AUTORETENC POR CREE 0,4%</v>
      </c>
      <c r="K102" s="149">
        <f>+L101</f>
        <v>3152</v>
      </c>
      <c r="L102" s="149"/>
      <c r="M102" s="24"/>
    </row>
    <row r="103" spans="1:13" hidden="1" outlineLevel="1" x14ac:dyDescent="0.25">
      <c r="A103" s="145" t="s">
        <v>1627</v>
      </c>
      <c r="B103" s="146" t="s">
        <v>1571</v>
      </c>
      <c r="C103" s="147">
        <v>41653</v>
      </c>
      <c r="D103" s="145"/>
      <c r="E103" s="145"/>
      <c r="F103" s="148">
        <v>860524608</v>
      </c>
      <c r="G103" s="145" t="str">
        <f>IFERROR(VLOOKUP(F103,TERCEROS[],3,FALSE),"")</f>
        <v>ALMACEN TORONTO</v>
      </c>
      <c r="H103" s="145" t="s">
        <v>1650</v>
      </c>
      <c r="I103" s="145">
        <v>135515</v>
      </c>
      <c r="J103" s="145" t="str">
        <f t="shared" si="9"/>
        <v xml:space="preserve">RETENCION EN LA FUENTE </v>
      </c>
      <c r="K103" s="149">
        <f>+L99*2.5/100</f>
        <v>19700</v>
      </c>
      <c r="L103" s="149"/>
      <c r="M103" s="24"/>
    </row>
    <row r="104" spans="1:13" hidden="1" outlineLevel="1" x14ac:dyDescent="0.25">
      <c r="A104" s="145" t="s">
        <v>1627</v>
      </c>
      <c r="B104" s="146" t="s">
        <v>1571</v>
      </c>
      <c r="C104" s="147">
        <v>41653</v>
      </c>
      <c r="D104" s="145"/>
      <c r="E104" s="145"/>
      <c r="F104" s="148">
        <v>860524608</v>
      </c>
      <c r="G104" s="145" t="str">
        <f>IFERROR(VLOOKUP(F104,TERCEROS[],3,FALSE),"")</f>
        <v>ALMACEN TORONTO</v>
      </c>
      <c r="H104" s="145" t="s">
        <v>1650</v>
      </c>
      <c r="I104" s="145">
        <v>130505</v>
      </c>
      <c r="J104" s="145" t="str">
        <f t="shared" si="9"/>
        <v xml:space="preserve">NACIONALES </v>
      </c>
      <c r="K104" s="149">
        <f>+L99+L100+L101-K102-K103</f>
        <v>894380</v>
      </c>
      <c r="L104" s="149"/>
      <c r="M104" s="24"/>
    </row>
    <row r="105" spans="1:13" hidden="1" outlineLevel="1" x14ac:dyDescent="0.25">
      <c r="A105" s="145" t="s">
        <v>1627</v>
      </c>
      <c r="B105" s="146" t="s">
        <v>1571</v>
      </c>
      <c r="C105" s="147">
        <v>41653</v>
      </c>
      <c r="D105" s="145"/>
      <c r="E105" s="145"/>
      <c r="F105" s="148">
        <v>860524608</v>
      </c>
      <c r="G105" s="145" t="str">
        <f>IFERROR(VLOOKUP(F105,TERCEROS[],3,FALSE),"")</f>
        <v>ALMACEN TORONTO</v>
      </c>
      <c r="H105" s="145" t="s">
        <v>1650</v>
      </c>
      <c r="I105" s="145">
        <v>61352403</v>
      </c>
      <c r="J105" s="145" t="str">
        <f t="shared" si="9"/>
        <v>VENTA DE PANTALONETAS</v>
      </c>
      <c r="K105" s="149">
        <v>372000</v>
      </c>
      <c r="L105" s="149"/>
      <c r="M105" s="24"/>
    </row>
    <row r="106" spans="1:13" hidden="1" outlineLevel="1" x14ac:dyDescent="0.25">
      <c r="A106" s="145" t="s">
        <v>1627</v>
      </c>
      <c r="B106" s="146" t="s">
        <v>1571</v>
      </c>
      <c r="C106" s="147">
        <v>41653</v>
      </c>
      <c r="D106" s="145"/>
      <c r="E106" s="145"/>
      <c r="F106" s="148">
        <v>860524608</v>
      </c>
      <c r="G106" s="145" t="str">
        <f>IFERROR(VLOOKUP(F106,TERCEROS[],3,FALSE),"")</f>
        <v>ALMACEN TORONTO</v>
      </c>
      <c r="H106" s="145" t="s">
        <v>1650</v>
      </c>
      <c r="I106" s="145">
        <v>14352403</v>
      </c>
      <c r="J106" s="145" t="str">
        <f t="shared" si="9"/>
        <v>DE PANTALONETAS</v>
      </c>
      <c r="K106" s="149"/>
      <c r="L106" s="149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4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5"/>
      <c r="M107" s="24"/>
    </row>
    <row r="108" spans="1:13" hidden="1" outlineLevel="1" x14ac:dyDescent="0.25">
      <c r="A108" s="22" t="s">
        <v>1652</v>
      </c>
      <c r="B108" s="29" t="s">
        <v>1554</v>
      </c>
      <c r="C108" s="144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5"/>
      <c r="M108" s="24"/>
    </row>
    <row r="109" spans="1:13" hidden="1" outlineLevel="1" x14ac:dyDescent="0.25">
      <c r="A109" s="22" t="s">
        <v>1652</v>
      </c>
      <c r="B109" s="29" t="s">
        <v>1554</v>
      </c>
      <c r="C109" s="144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5"/>
      <c r="M109" s="24"/>
    </row>
    <row r="110" spans="1:13" hidden="1" outlineLevel="1" x14ac:dyDescent="0.25">
      <c r="A110" s="22" t="s">
        <v>1652</v>
      </c>
      <c r="B110" s="29" t="s">
        <v>1554</v>
      </c>
      <c r="C110" s="144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5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4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5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4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5"/>
      <c r="L112" s="165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4">
        <v>41654</v>
      </c>
      <c r="D113" s="22"/>
      <c r="E113" s="22"/>
      <c r="F113" s="164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5"/>
      <c r="L113" s="165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4">
        <v>41654</v>
      </c>
      <c r="D114" s="22"/>
      <c r="E114" s="22"/>
      <c r="F114" s="164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5">
        <v>50000</v>
      </c>
      <c r="L114" s="165"/>
      <c r="M114" s="24"/>
    </row>
    <row r="115" spans="1:13" hidden="1" outlineLevel="1" x14ac:dyDescent="0.25">
      <c r="A115" s="145" t="s">
        <v>1573</v>
      </c>
      <c r="B115" s="146" t="s">
        <v>1659</v>
      </c>
      <c r="C115" s="147">
        <v>41654</v>
      </c>
      <c r="D115" s="145" t="s">
        <v>1660</v>
      </c>
      <c r="E115" s="147">
        <f>+C115</f>
        <v>41654</v>
      </c>
      <c r="F115" s="148">
        <v>999888111</v>
      </c>
      <c r="G115" s="145" t="str">
        <f>IFERROR(VLOOKUP(F115,TERCEROS[],3,FALSE),"")</f>
        <v>FINANTRO</v>
      </c>
      <c r="H115" s="145" t="s">
        <v>1661</v>
      </c>
      <c r="I115" s="145">
        <v>1120050101</v>
      </c>
      <c r="J115" s="145" t="str">
        <f t="shared" si="9"/>
        <v>CTA DE AHORROS NO. 04-4563-05</v>
      </c>
      <c r="K115" s="149">
        <v>2500000</v>
      </c>
      <c r="L115" s="149"/>
      <c r="M115" s="149"/>
    </row>
    <row r="116" spans="1:13" hidden="1" outlineLevel="1" x14ac:dyDescent="0.25">
      <c r="A116" s="145" t="s">
        <v>1573</v>
      </c>
      <c r="B116" s="146" t="s">
        <v>1659</v>
      </c>
      <c r="C116" s="147">
        <v>41654</v>
      </c>
      <c r="D116" s="145" t="s">
        <v>1660</v>
      </c>
      <c r="E116" s="147">
        <f>+C116</f>
        <v>41654</v>
      </c>
      <c r="F116" s="148">
        <v>999888111</v>
      </c>
      <c r="G116" s="145" t="str">
        <f>IFERROR(VLOOKUP(F116,TERCEROS[],3,FALSE),"")</f>
        <v>FINANTRO</v>
      </c>
      <c r="H116" s="145" t="s">
        <v>1661</v>
      </c>
      <c r="I116" s="145">
        <v>1110050501</v>
      </c>
      <c r="J116" s="145" t="str">
        <f t="shared" si="9"/>
        <v>CUENTA CORRIENTE NO. 074-604125-08</v>
      </c>
      <c r="K116" s="149"/>
      <c r="L116" s="149">
        <f>+K115</f>
        <v>2500000</v>
      </c>
      <c r="M116" s="149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4">
        <v>41656</v>
      </c>
      <c r="D117" s="22" t="s">
        <v>1664</v>
      </c>
      <c r="E117" s="144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4">
        <v>41656</v>
      </c>
      <c r="D118" s="22" t="s">
        <v>1664</v>
      </c>
      <c r="E118" s="144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4">
        <v>41656</v>
      </c>
      <c r="D119" s="22" t="s">
        <v>1664</v>
      </c>
      <c r="E119" s="144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6" t="s">
        <v>1573</v>
      </c>
      <c r="B120" s="167" t="s">
        <v>1666</v>
      </c>
      <c r="C120" s="168">
        <v>41656</v>
      </c>
      <c r="D120" s="166" t="s">
        <v>1664</v>
      </c>
      <c r="E120" s="168">
        <f t="shared" si="15"/>
        <v>41656</v>
      </c>
      <c r="F120" s="169">
        <v>800652351</v>
      </c>
      <c r="G120" s="166" t="str">
        <f>IFERROR(VLOOKUP(F120,TERCEROS[],3,FALSE),"")</f>
        <v>SURTIDOR KP LTDA</v>
      </c>
      <c r="H120" s="166" t="s">
        <v>1667</v>
      </c>
      <c r="I120" s="166">
        <v>220501</v>
      </c>
      <c r="J120" s="166" t="str">
        <f t="shared" si="9"/>
        <v>PROVEEDORES NACIONALES</v>
      </c>
      <c r="K120" s="170">
        <f>+L119*0.5</f>
        <v>800400</v>
      </c>
      <c r="L120" s="170"/>
      <c r="M120" s="170"/>
    </row>
    <row r="121" spans="1:13" hidden="1" outlineLevel="1" x14ac:dyDescent="0.25">
      <c r="A121" s="166" t="s">
        <v>1573</v>
      </c>
      <c r="B121" s="167" t="s">
        <v>1666</v>
      </c>
      <c r="C121" s="168">
        <v>41656</v>
      </c>
      <c r="D121" s="166" t="s">
        <v>1664</v>
      </c>
      <c r="E121" s="168">
        <f t="shared" ref="E121" si="16">+C121</f>
        <v>41656</v>
      </c>
      <c r="F121" s="169">
        <v>800652351</v>
      </c>
      <c r="G121" s="166" t="str">
        <f>IFERROR(VLOOKUP(F121,TERCEROS[],3,FALSE),"")</f>
        <v>SURTIDOR KP LTDA</v>
      </c>
      <c r="H121" s="166" t="s">
        <v>1667</v>
      </c>
      <c r="I121" s="166">
        <v>1110050501</v>
      </c>
      <c r="J121" s="166" t="str">
        <f t="shared" si="9"/>
        <v>CUENTA CORRIENTE NO. 074-604125-08</v>
      </c>
      <c r="K121" s="170"/>
      <c r="L121" s="170">
        <f>+K120</f>
        <v>800400</v>
      </c>
      <c r="M121" s="170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4">
        <v>41657</v>
      </c>
      <c r="D122" s="22">
        <v>7777</v>
      </c>
      <c r="E122" s="144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4">
        <v>41657</v>
      </c>
      <c r="D123" s="22">
        <v>7777</v>
      </c>
      <c r="E123" s="144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4">
        <v>41657</v>
      </c>
      <c r="D124" s="22">
        <v>7777</v>
      </c>
      <c r="E124" s="144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4">
        <v>41657</v>
      </c>
      <c r="D125" s="22">
        <v>7777</v>
      </c>
      <c r="E125" s="144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5" t="s">
        <v>1573</v>
      </c>
      <c r="B126" s="146" t="s">
        <v>1675</v>
      </c>
      <c r="C126" s="147">
        <v>41657</v>
      </c>
      <c r="D126" s="145">
        <v>7777</v>
      </c>
      <c r="E126" s="147">
        <f t="shared" si="17"/>
        <v>41657</v>
      </c>
      <c r="F126" s="148">
        <v>860222333</v>
      </c>
      <c r="G126" s="145" t="str">
        <f>IFERROR(VLOOKUP(F126,TERCEROS[],3,FALSE),"")</f>
        <v>LOS MUSICOS S.A.S.</v>
      </c>
      <c r="H126" s="145" t="s">
        <v>1676</v>
      </c>
      <c r="I126" s="145">
        <v>233525</v>
      </c>
      <c r="J126" s="145" t="str">
        <f t="shared" ref="J126:J171" si="18">IFERROR(VLOOKUP(I126,PUC,2,FALSE),"")</f>
        <v xml:space="preserve">HONORARIOS </v>
      </c>
      <c r="K126" s="149">
        <f>+L125</f>
        <v>1029000</v>
      </c>
      <c r="L126" s="149"/>
      <c r="M126" s="149"/>
    </row>
    <row r="127" spans="1:13" hidden="1" outlineLevel="1" x14ac:dyDescent="0.25">
      <c r="A127" s="145" t="s">
        <v>1573</v>
      </c>
      <c r="B127" s="146" t="s">
        <v>1675</v>
      </c>
      <c r="C127" s="147">
        <v>41657</v>
      </c>
      <c r="D127" s="145">
        <v>7777</v>
      </c>
      <c r="E127" s="147">
        <f t="shared" ref="E127" si="19">+C127</f>
        <v>41657</v>
      </c>
      <c r="F127" s="148">
        <v>860222333</v>
      </c>
      <c r="G127" s="145" t="str">
        <f>IFERROR(VLOOKUP(F127,TERCEROS[],3,FALSE),"")</f>
        <v>LOS MUSICOS S.A.S.</v>
      </c>
      <c r="H127" s="145" t="s">
        <v>1676</v>
      </c>
      <c r="I127" s="145">
        <v>1110050501</v>
      </c>
      <c r="J127" s="145" t="str">
        <f t="shared" si="18"/>
        <v>CUENTA CORRIENTE NO. 074-604125-08</v>
      </c>
      <c r="K127" s="149"/>
      <c r="L127" s="149">
        <f>+K126</f>
        <v>1029000</v>
      </c>
      <c r="M127" s="149" t="s">
        <v>1677</v>
      </c>
    </row>
    <row r="128" spans="1:13" hidden="1" outlineLevel="1" x14ac:dyDescent="0.25">
      <c r="A128" s="30" t="s">
        <v>1553</v>
      </c>
      <c r="B128" s="162" t="s">
        <v>1588</v>
      </c>
      <c r="C128" s="163">
        <v>41658</v>
      </c>
      <c r="D128" s="30" t="s">
        <v>1611</v>
      </c>
      <c r="E128" s="163">
        <v>41649</v>
      </c>
      <c r="F128" s="164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5"/>
      <c r="L128" s="165">
        <f>7*10000</f>
        <v>70000</v>
      </c>
      <c r="M128" s="165"/>
    </row>
    <row r="129" spans="1:13" hidden="1" outlineLevel="1" x14ac:dyDescent="0.25">
      <c r="A129" s="30" t="s">
        <v>1553</v>
      </c>
      <c r="B129" s="162" t="s">
        <v>1588</v>
      </c>
      <c r="C129" s="163">
        <v>41658</v>
      </c>
      <c r="D129" s="30" t="s">
        <v>1611</v>
      </c>
      <c r="E129" s="163">
        <v>41649</v>
      </c>
      <c r="F129" s="164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5"/>
      <c r="L129" s="165">
        <f>+L128*0.16</f>
        <v>11200</v>
      </c>
      <c r="M129" s="165"/>
    </row>
    <row r="130" spans="1:13" hidden="1" outlineLevel="1" x14ac:dyDescent="0.25">
      <c r="A130" s="30" t="s">
        <v>1553</v>
      </c>
      <c r="B130" s="162" t="s">
        <v>1588</v>
      </c>
      <c r="C130" s="163">
        <v>41658</v>
      </c>
      <c r="D130" s="30" t="s">
        <v>1611</v>
      </c>
      <c r="E130" s="163">
        <v>41649</v>
      </c>
      <c r="F130" s="164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5">
        <f>+L128*2.5/100</f>
        <v>1750</v>
      </c>
      <c r="L130" s="165"/>
      <c r="M130" s="165"/>
    </row>
    <row r="131" spans="1:13" hidden="1" outlineLevel="1" x14ac:dyDescent="0.25">
      <c r="A131" s="30" t="s">
        <v>1553</v>
      </c>
      <c r="B131" s="162" t="s">
        <v>1588</v>
      </c>
      <c r="C131" s="163">
        <v>41658</v>
      </c>
      <c r="D131" s="30" t="s">
        <v>1611</v>
      </c>
      <c r="E131" s="163">
        <v>41649</v>
      </c>
      <c r="F131" s="164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5">
        <f>+L128+L129-K130</f>
        <v>79450</v>
      </c>
      <c r="L131" s="165"/>
      <c r="M131" s="165"/>
    </row>
    <row r="132" spans="1:13" hidden="1" outlineLevel="1" x14ac:dyDescent="0.25">
      <c r="A132" s="145" t="s">
        <v>1553</v>
      </c>
      <c r="B132" s="146" t="s">
        <v>1594</v>
      </c>
      <c r="C132" s="147">
        <v>41659</v>
      </c>
      <c r="D132" s="145" t="s">
        <v>1660</v>
      </c>
      <c r="E132" s="147">
        <f>+C132</f>
        <v>41659</v>
      </c>
      <c r="F132" s="148">
        <v>800555222</v>
      </c>
      <c r="G132" s="145" t="str">
        <f>IFERROR(VLOOKUP(F132,TERCEROS[],3,FALSE),"")</f>
        <v>BANCOMIO</v>
      </c>
      <c r="H132" s="145" t="s">
        <v>1682</v>
      </c>
      <c r="I132" s="145">
        <v>110505</v>
      </c>
      <c r="J132" s="145" t="str">
        <f t="shared" si="18"/>
        <v xml:space="preserve">CAJA GENERAL </v>
      </c>
      <c r="K132" s="149"/>
      <c r="L132" s="149">
        <v>304500</v>
      </c>
      <c r="M132" s="149"/>
    </row>
    <row r="133" spans="1:13" hidden="1" outlineLevel="1" x14ac:dyDescent="0.25">
      <c r="A133" s="145" t="s">
        <v>1553</v>
      </c>
      <c r="B133" s="146" t="s">
        <v>1594</v>
      </c>
      <c r="C133" s="147">
        <v>41659</v>
      </c>
      <c r="D133" s="145" t="s">
        <v>1660</v>
      </c>
      <c r="E133" s="147">
        <f>+C133</f>
        <v>41659</v>
      </c>
      <c r="F133" s="148">
        <v>800555222</v>
      </c>
      <c r="G133" s="145" t="str">
        <f>IFERROR(VLOOKUP(F133,TERCEROS[],3,FALSE),"")</f>
        <v>BANCOMIO</v>
      </c>
      <c r="H133" s="145" t="s">
        <v>1682</v>
      </c>
      <c r="I133" s="145">
        <v>1110050501</v>
      </c>
      <c r="J133" s="145" t="str">
        <f t="shared" si="18"/>
        <v>CUENTA CORRIENTE NO. 074-604125-08</v>
      </c>
      <c r="K133" s="149">
        <f>+L132</f>
        <v>304500</v>
      </c>
      <c r="L133" s="149"/>
      <c r="M133" s="149"/>
    </row>
    <row r="134" spans="1:13" hidden="1" outlineLevel="1" x14ac:dyDescent="0.25">
      <c r="A134" s="173" t="s">
        <v>1627</v>
      </c>
      <c r="B134" s="174" t="s">
        <v>1588</v>
      </c>
      <c r="C134" s="175">
        <v>41661</v>
      </c>
      <c r="D134" s="173"/>
      <c r="E134" s="173"/>
      <c r="F134" s="176">
        <v>800255397</v>
      </c>
      <c r="G134" s="173" t="str">
        <f>IFERROR(VLOOKUP(F134,TERCEROS[],3,FALSE),"")</f>
        <v>F Y ROPA S.A.S</v>
      </c>
      <c r="H134" s="173" t="s">
        <v>1684</v>
      </c>
      <c r="I134" s="173">
        <v>41352403</v>
      </c>
      <c r="J134" s="173" t="str">
        <f t="shared" si="18"/>
        <v>VENTA DE PANTALONETAS</v>
      </c>
      <c r="K134" s="177"/>
      <c r="L134" s="177">
        <f>110*10500</f>
        <v>1155000</v>
      </c>
      <c r="M134" s="24"/>
    </row>
    <row r="135" spans="1:13" hidden="1" outlineLevel="1" x14ac:dyDescent="0.25">
      <c r="A135" s="173" t="s">
        <v>1627</v>
      </c>
      <c r="B135" s="174" t="s">
        <v>1588</v>
      </c>
      <c r="C135" s="175">
        <v>41661</v>
      </c>
      <c r="D135" s="173"/>
      <c r="E135" s="173"/>
      <c r="F135" s="176">
        <v>800255397</v>
      </c>
      <c r="G135" s="173" t="str">
        <f>IFERROR(VLOOKUP(F135,TERCEROS[],3,FALSE),"")</f>
        <v>F Y ROPA S.A.S</v>
      </c>
      <c r="H135" s="173" t="s">
        <v>1684</v>
      </c>
      <c r="I135" s="173">
        <v>240801</v>
      </c>
      <c r="J135" s="173" t="str">
        <f t="shared" si="18"/>
        <v>IVA GENERADO</v>
      </c>
      <c r="K135" s="177"/>
      <c r="L135" s="177">
        <f>+L134*0.16</f>
        <v>184800</v>
      </c>
      <c r="M135" s="24"/>
    </row>
    <row r="136" spans="1:13" hidden="1" outlineLevel="1" x14ac:dyDescent="0.25">
      <c r="A136" s="173" t="s">
        <v>1627</v>
      </c>
      <c r="B136" s="174" t="s">
        <v>1588</v>
      </c>
      <c r="C136" s="175">
        <v>41661</v>
      </c>
      <c r="D136" s="173"/>
      <c r="E136" s="173"/>
      <c r="F136" s="176">
        <v>800255397</v>
      </c>
      <c r="G136" s="173" t="str">
        <f>IFERROR(VLOOKUP(F136,TERCEROS[],3,FALSE),"")</f>
        <v>F Y ROPA S.A.S</v>
      </c>
      <c r="H136" s="173" t="s">
        <v>1684</v>
      </c>
      <c r="I136" s="173">
        <v>23657001</v>
      </c>
      <c r="J136" s="173" t="str">
        <f t="shared" si="18"/>
        <v>(INUTILIZABLE) AUTORETENC POR CREE 0,4%</v>
      </c>
      <c r="K136" s="177"/>
      <c r="L136" s="177">
        <f>+L134*0.4/100</f>
        <v>4620</v>
      </c>
      <c r="M136" s="24"/>
    </row>
    <row r="137" spans="1:13" hidden="1" outlineLevel="1" x14ac:dyDescent="0.25">
      <c r="A137" s="173" t="s">
        <v>1627</v>
      </c>
      <c r="B137" s="174" t="s">
        <v>1588</v>
      </c>
      <c r="C137" s="175">
        <v>41661</v>
      </c>
      <c r="D137" s="173"/>
      <c r="E137" s="173"/>
      <c r="F137" s="176">
        <v>800255397</v>
      </c>
      <c r="G137" s="173" t="str">
        <f>IFERROR(VLOOKUP(F137,TERCEROS[],3,FALSE),"")</f>
        <v>F Y ROPA S.A.S</v>
      </c>
      <c r="H137" s="173" t="s">
        <v>1684</v>
      </c>
      <c r="I137" s="173">
        <v>13559501</v>
      </c>
      <c r="J137" s="173" t="str">
        <f t="shared" si="18"/>
        <v>ANT AUTORETENC POR CREE 0,4%</v>
      </c>
      <c r="K137" s="177">
        <f>+L136</f>
        <v>4620</v>
      </c>
      <c r="L137" s="177"/>
      <c r="M137" s="24"/>
    </row>
    <row r="138" spans="1:13" hidden="1" outlineLevel="1" x14ac:dyDescent="0.25">
      <c r="A138" s="173" t="s">
        <v>1627</v>
      </c>
      <c r="B138" s="174" t="s">
        <v>1588</v>
      </c>
      <c r="C138" s="175">
        <v>41661</v>
      </c>
      <c r="D138" s="173"/>
      <c r="E138" s="173"/>
      <c r="F138" s="176">
        <v>800255397</v>
      </c>
      <c r="G138" s="173" t="str">
        <f>IFERROR(VLOOKUP(F138,TERCEROS[],3,FALSE),"")</f>
        <v>F Y ROPA S.A.S</v>
      </c>
      <c r="H138" s="173" t="s">
        <v>1684</v>
      </c>
      <c r="I138" s="173">
        <v>135515</v>
      </c>
      <c r="J138" s="173" t="str">
        <f t="shared" si="18"/>
        <v xml:space="preserve">RETENCION EN LA FUENTE </v>
      </c>
      <c r="K138" s="177">
        <f>+L134*2.5/100</f>
        <v>28875</v>
      </c>
      <c r="L138" s="177"/>
      <c r="M138" s="24"/>
    </row>
    <row r="139" spans="1:13" hidden="1" outlineLevel="1" x14ac:dyDescent="0.25">
      <c r="A139" s="173" t="s">
        <v>1627</v>
      </c>
      <c r="B139" s="174" t="s">
        <v>1588</v>
      </c>
      <c r="C139" s="175">
        <v>41661</v>
      </c>
      <c r="D139" s="173"/>
      <c r="E139" s="173"/>
      <c r="F139" s="176">
        <v>800255397</v>
      </c>
      <c r="G139" s="173" t="str">
        <f>IFERROR(VLOOKUP(F139,TERCEROS[],3,FALSE),"")</f>
        <v>F Y ROPA S.A.S</v>
      </c>
      <c r="H139" s="173" t="s">
        <v>1684</v>
      </c>
      <c r="I139" s="173">
        <v>130505</v>
      </c>
      <c r="J139" s="173" t="str">
        <f t="shared" si="18"/>
        <v xml:space="preserve">NACIONALES </v>
      </c>
      <c r="K139" s="177">
        <f>+L134+L135+L136-K137-K138</f>
        <v>1310925</v>
      </c>
      <c r="L139" s="177"/>
      <c r="M139" s="24"/>
    </row>
    <row r="140" spans="1:13" hidden="1" outlineLevel="1" x14ac:dyDescent="0.25">
      <c r="A140" s="173" t="s">
        <v>1627</v>
      </c>
      <c r="B140" s="174" t="s">
        <v>1588</v>
      </c>
      <c r="C140" s="175">
        <v>41661</v>
      </c>
      <c r="D140" s="173"/>
      <c r="E140" s="173"/>
      <c r="F140" s="176">
        <v>800255397</v>
      </c>
      <c r="G140" s="173" t="str">
        <f>IFERROR(VLOOKUP(F140,TERCEROS[],3,FALSE),"")</f>
        <v>F Y ROPA S.A.S</v>
      </c>
      <c r="H140" s="173" t="s">
        <v>1684</v>
      </c>
      <c r="I140" s="173">
        <v>61352403</v>
      </c>
      <c r="J140" s="173" t="str">
        <f t="shared" si="18"/>
        <v>VENTA DE PANTALONETAS</v>
      </c>
      <c r="K140" s="177">
        <v>511500</v>
      </c>
      <c r="L140" s="177"/>
      <c r="M140" s="24"/>
    </row>
    <row r="141" spans="1:13" hidden="1" outlineLevel="1" x14ac:dyDescent="0.25">
      <c r="A141" s="173" t="s">
        <v>1627</v>
      </c>
      <c r="B141" s="174" t="s">
        <v>1588</v>
      </c>
      <c r="C141" s="175">
        <v>41661</v>
      </c>
      <c r="D141" s="173"/>
      <c r="E141" s="173"/>
      <c r="F141" s="176">
        <v>800255397</v>
      </c>
      <c r="G141" s="173" t="str">
        <f>IFERROR(VLOOKUP(F141,TERCEROS[],3,FALSE),"")</f>
        <v>F Y ROPA S.A.S</v>
      </c>
      <c r="H141" s="173" t="s">
        <v>1684</v>
      </c>
      <c r="I141" s="173">
        <v>14352403</v>
      </c>
      <c r="J141" s="173" t="str">
        <f t="shared" si="18"/>
        <v>DE PANTALONETAS</v>
      </c>
      <c r="K141" s="177"/>
      <c r="L141" s="177">
        <f>+K140</f>
        <v>511500</v>
      </c>
      <c r="M141" s="24"/>
    </row>
    <row r="142" spans="1:13" hidden="1" outlineLevel="1" x14ac:dyDescent="0.25">
      <c r="A142" s="145" t="s">
        <v>1642</v>
      </c>
      <c r="B142" s="146" t="s">
        <v>1557</v>
      </c>
      <c r="C142" s="147">
        <v>41661</v>
      </c>
      <c r="D142" s="145" t="s">
        <v>1686</v>
      </c>
      <c r="E142" s="147">
        <v>41661</v>
      </c>
      <c r="F142" s="148">
        <v>800255397</v>
      </c>
      <c r="G142" s="145" t="str">
        <f>IFERROR(VLOOKUP(F142,TERCEROS[],3,FALSE),"")</f>
        <v>F Y ROPA S.A.S</v>
      </c>
      <c r="H142" s="145" t="s">
        <v>1687</v>
      </c>
      <c r="I142" s="145">
        <v>130505</v>
      </c>
      <c r="J142" s="145" t="str">
        <f t="shared" si="18"/>
        <v xml:space="preserve">NACIONALES </v>
      </c>
      <c r="K142" s="149"/>
      <c r="L142" s="149">
        <f>+K139</f>
        <v>1310925</v>
      </c>
      <c r="M142" s="24"/>
    </row>
    <row r="143" spans="1:13" hidden="1" outlineLevel="1" x14ac:dyDescent="0.25">
      <c r="A143" s="145" t="s">
        <v>1642</v>
      </c>
      <c r="B143" s="146" t="s">
        <v>1557</v>
      </c>
      <c r="C143" s="147">
        <v>41661</v>
      </c>
      <c r="D143" s="145" t="s">
        <v>1686</v>
      </c>
      <c r="E143" s="147">
        <v>41661</v>
      </c>
      <c r="F143" s="148">
        <v>800255397</v>
      </c>
      <c r="G143" s="145" t="str">
        <f>IFERROR(VLOOKUP(F143,TERCEROS[],3,FALSE),"")</f>
        <v>F Y ROPA S.A.S</v>
      </c>
      <c r="H143" s="145" t="s">
        <v>1688</v>
      </c>
      <c r="I143" s="145">
        <v>110505</v>
      </c>
      <c r="J143" s="145" t="str">
        <f t="shared" si="18"/>
        <v xml:space="preserve">CAJA GENERAL </v>
      </c>
      <c r="K143" s="149">
        <f>+L142/2</f>
        <v>655462.5</v>
      </c>
      <c r="L143" s="149"/>
      <c r="M143" s="24"/>
    </row>
    <row r="144" spans="1:13" hidden="1" outlineLevel="1" x14ac:dyDescent="0.25">
      <c r="A144" s="145" t="s">
        <v>1642</v>
      </c>
      <c r="B144" s="146" t="s">
        <v>1557</v>
      </c>
      <c r="C144" s="147">
        <v>41661</v>
      </c>
      <c r="D144" s="145" t="s">
        <v>1686</v>
      </c>
      <c r="E144" s="147">
        <v>41661</v>
      </c>
      <c r="F144" s="148">
        <v>800255397</v>
      </c>
      <c r="G144" s="145" t="str">
        <f>IFERROR(VLOOKUP(F144,TERCEROS[],3,FALSE),"")</f>
        <v>F Y ROPA S.A.S</v>
      </c>
      <c r="H144" s="145" t="s">
        <v>1689</v>
      </c>
      <c r="I144" s="145">
        <v>1110050501</v>
      </c>
      <c r="J144" s="145" t="str">
        <f t="shared" si="18"/>
        <v>CUENTA CORRIENTE NO. 074-604125-08</v>
      </c>
      <c r="K144" s="149">
        <f>+L142/2</f>
        <v>655462.5</v>
      </c>
      <c r="L144" s="149"/>
      <c r="M144" s="24"/>
    </row>
    <row r="145" spans="1:13" hidden="1" outlineLevel="1" x14ac:dyDescent="0.25">
      <c r="A145" s="22" t="s">
        <v>1553</v>
      </c>
      <c r="B145" s="29" t="s">
        <v>1600</v>
      </c>
      <c r="C145" s="144">
        <v>41662</v>
      </c>
      <c r="D145" s="22" t="s">
        <v>1690</v>
      </c>
      <c r="E145" s="144">
        <f>+C145</f>
        <v>41662</v>
      </c>
      <c r="F145" s="164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4">
        <v>41662</v>
      </c>
      <c r="D146" s="22" t="s">
        <v>1690</v>
      </c>
      <c r="E146" s="144">
        <f>+C146</f>
        <v>41662</v>
      </c>
      <c r="F146" s="164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5" t="s">
        <v>1573</v>
      </c>
      <c r="B147" s="146" t="s">
        <v>1695</v>
      </c>
      <c r="C147" s="147">
        <v>41663</v>
      </c>
      <c r="D147" s="145" t="s">
        <v>1696</v>
      </c>
      <c r="E147" s="147">
        <f>+C147</f>
        <v>41663</v>
      </c>
      <c r="F147" s="178">
        <v>89254178</v>
      </c>
      <c r="G147" s="145" t="str">
        <f>IFERROR(VLOOKUP(F147,TERCEROS[],3,FALSE),"")</f>
        <v>CARMENZA TORO</v>
      </c>
      <c r="H147" s="145" t="s">
        <v>1698</v>
      </c>
      <c r="I147" s="145">
        <v>13659501</v>
      </c>
      <c r="J147" s="145" t="str">
        <f t="shared" si="18"/>
        <v>PRESTAMOS EN COMUN ACUERDO</v>
      </c>
      <c r="K147" s="149">
        <v>900000</v>
      </c>
      <c r="L147" s="149"/>
      <c r="M147" s="149"/>
    </row>
    <row r="148" spans="1:13" hidden="1" outlineLevel="1" x14ac:dyDescent="0.25">
      <c r="A148" s="145" t="s">
        <v>1573</v>
      </c>
      <c r="B148" s="146" t="s">
        <v>1695</v>
      </c>
      <c r="C148" s="147">
        <v>41663</v>
      </c>
      <c r="D148" s="145" t="s">
        <v>1696</v>
      </c>
      <c r="E148" s="147">
        <f>+C148</f>
        <v>41663</v>
      </c>
      <c r="F148" s="178">
        <v>89254178</v>
      </c>
      <c r="G148" s="145" t="str">
        <f>IFERROR(VLOOKUP(F148,TERCEROS[],3,FALSE),"")</f>
        <v>CARMENZA TORO</v>
      </c>
      <c r="H148" s="145" t="s">
        <v>1698</v>
      </c>
      <c r="I148" s="145">
        <v>1110050501</v>
      </c>
      <c r="J148" s="145" t="str">
        <f t="shared" si="18"/>
        <v>CUENTA CORRIENTE NO. 074-604125-08</v>
      </c>
      <c r="K148" s="149"/>
      <c r="L148" s="149">
        <f>+K147</f>
        <v>900000</v>
      </c>
      <c r="M148" s="149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4">
        <v>41664</v>
      </c>
      <c r="D149" s="22"/>
      <c r="E149" s="22"/>
      <c r="F149" s="179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4">
        <v>41664</v>
      </c>
      <c r="D150" s="22"/>
      <c r="E150" s="22"/>
      <c r="F150" s="179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4">
        <v>41664</v>
      </c>
      <c r="D151" s="22"/>
      <c r="E151" s="22"/>
      <c r="F151" s="179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4">
        <v>41664</v>
      </c>
      <c r="D152" s="22"/>
      <c r="E152" s="22"/>
      <c r="F152" s="179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4">
        <v>41664</v>
      </c>
      <c r="D153" s="22"/>
      <c r="E153" s="22"/>
      <c r="F153" s="179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5" t="s">
        <v>1642</v>
      </c>
      <c r="B154" s="146" t="s">
        <v>1571</v>
      </c>
      <c r="C154" s="147">
        <v>41664</v>
      </c>
      <c r="D154" s="145"/>
      <c r="E154" s="145"/>
      <c r="F154" s="178">
        <v>800111126</v>
      </c>
      <c r="G154" s="145" t="str">
        <f>IFERROR(VLOOKUP(F154,TERCEROS[],3,FALSE),"")</f>
        <v>RECICLADOS LTDA.</v>
      </c>
      <c r="H154" s="145" t="s">
        <v>1704</v>
      </c>
      <c r="I154" s="145">
        <v>134595</v>
      </c>
      <c r="J154" s="145" t="str">
        <f t="shared" si="18"/>
        <v xml:space="preserve">OTROS </v>
      </c>
      <c r="K154" s="149"/>
      <c r="L154" s="149">
        <f>+K153</f>
        <v>139200</v>
      </c>
      <c r="M154" s="149"/>
    </row>
    <row r="155" spans="1:13" hidden="1" outlineLevel="1" x14ac:dyDescent="0.25">
      <c r="A155" s="145" t="s">
        <v>1642</v>
      </c>
      <c r="B155" s="146" t="s">
        <v>1571</v>
      </c>
      <c r="C155" s="147">
        <v>41664</v>
      </c>
      <c r="D155" s="145"/>
      <c r="E155" s="145"/>
      <c r="F155" s="178">
        <v>800111126</v>
      </c>
      <c r="G155" s="145" t="str">
        <f>IFERROR(VLOOKUP(F155,TERCEROS[],3,FALSE),"")</f>
        <v>RECICLADOS LTDA.</v>
      </c>
      <c r="H155" s="145" t="s">
        <v>1704</v>
      </c>
      <c r="I155" s="145">
        <v>110505</v>
      </c>
      <c r="J155" s="145" t="str">
        <f t="shared" si="18"/>
        <v xml:space="preserve">CAJA GENERAL </v>
      </c>
      <c r="K155" s="149">
        <f>+L154</f>
        <v>139200</v>
      </c>
      <c r="L155" s="149"/>
      <c r="M155" s="149"/>
    </row>
    <row r="156" spans="1:13" hidden="1" outlineLevel="1" x14ac:dyDescent="0.25">
      <c r="A156" s="22" t="s">
        <v>1553</v>
      </c>
      <c r="B156" s="29" t="s">
        <v>1620</v>
      </c>
      <c r="C156" s="144">
        <v>41665</v>
      </c>
      <c r="D156" s="22" t="s">
        <v>1705</v>
      </c>
      <c r="E156" s="144">
        <v>41644</v>
      </c>
      <c r="F156" s="164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4">
        <v>41665</v>
      </c>
      <c r="D157" s="22" t="s">
        <v>1705</v>
      </c>
      <c r="E157" s="144">
        <v>41644</v>
      </c>
      <c r="F157" s="164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4">
        <v>41665</v>
      </c>
      <c r="D158" s="22" t="s">
        <v>1705</v>
      </c>
      <c r="E158" s="144">
        <v>41645</v>
      </c>
      <c r="F158" s="179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4">
        <v>41665</v>
      </c>
      <c r="D159" s="22" t="s">
        <v>1705</v>
      </c>
      <c r="E159" s="144">
        <v>41645</v>
      </c>
      <c r="F159" s="179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4">
        <v>41665</v>
      </c>
      <c r="D160" s="22" t="s">
        <v>1705</v>
      </c>
      <c r="E160" s="144">
        <v>41649</v>
      </c>
      <c r="F160" s="179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4">
        <v>41665</v>
      </c>
      <c r="D161" s="22" t="s">
        <v>1705</v>
      </c>
      <c r="E161" s="144">
        <v>41650</v>
      </c>
      <c r="F161" s="179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4">
        <v>41665</v>
      </c>
      <c r="D162" s="22" t="s">
        <v>1705</v>
      </c>
      <c r="E162" s="144">
        <v>41655</v>
      </c>
      <c r="F162" s="179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4">
        <v>41665</v>
      </c>
      <c r="D163" s="22" t="s">
        <v>1705</v>
      </c>
      <c r="E163" s="144">
        <v>41655</v>
      </c>
      <c r="F163" s="179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4">
        <v>41665</v>
      </c>
      <c r="D164" s="22" t="s">
        <v>1705</v>
      </c>
      <c r="E164" s="144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4">
        <v>41665</v>
      </c>
      <c r="D165" s="22" t="s">
        <v>1705</v>
      </c>
      <c r="E165" s="144">
        <v>41662</v>
      </c>
      <c r="F165" s="180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4">
        <v>41665</v>
      </c>
      <c r="D166" s="22" t="s">
        <v>1705</v>
      </c>
      <c r="E166" s="144">
        <f t="shared" ref="E166" si="20">+C166</f>
        <v>41665</v>
      </c>
      <c r="F166" s="180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5" t="s">
        <v>1573</v>
      </c>
      <c r="B167" s="146" t="s">
        <v>1721</v>
      </c>
      <c r="C167" s="147">
        <v>41666</v>
      </c>
      <c r="D167" s="145" t="s">
        <v>1705</v>
      </c>
      <c r="E167" s="147">
        <v>41665</v>
      </c>
      <c r="F167" s="178">
        <v>1019125029</v>
      </c>
      <c r="G167" s="145" t="str">
        <f>IFERROR(VLOOKUP(F167,TERCEROS[],3,FALSE),"")</f>
        <v>Susanita Perez</v>
      </c>
      <c r="H167" s="145" t="s">
        <v>1722</v>
      </c>
      <c r="I167" s="145">
        <v>23359501</v>
      </c>
      <c r="J167" s="145" t="str">
        <f t="shared" si="18"/>
        <v>CAJAS MENORES</v>
      </c>
      <c r="K167" s="149">
        <f>+L166</f>
        <v>364320</v>
      </c>
      <c r="L167" s="149"/>
      <c r="M167" s="149"/>
    </row>
    <row r="168" spans="1:13" hidden="1" outlineLevel="1" x14ac:dyDescent="0.25">
      <c r="A168" s="145" t="s">
        <v>1573</v>
      </c>
      <c r="B168" s="146" t="s">
        <v>1721</v>
      </c>
      <c r="C168" s="147">
        <v>41666</v>
      </c>
      <c r="D168" s="145" t="s">
        <v>1705</v>
      </c>
      <c r="E168" s="147">
        <v>41665</v>
      </c>
      <c r="F168" s="178">
        <v>1019125029</v>
      </c>
      <c r="G168" s="145" t="str">
        <f>IFERROR(VLOOKUP(F168,TERCEROS[],3,FALSE),"")</f>
        <v>Susanita Perez</v>
      </c>
      <c r="H168" s="145" t="s">
        <v>1722</v>
      </c>
      <c r="I168" s="145">
        <v>1110050501</v>
      </c>
      <c r="J168" s="145" t="str">
        <f t="shared" si="18"/>
        <v>CUENTA CORRIENTE NO. 074-604125-08</v>
      </c>
      <c r="K168" s="149"/>
      <c r="L168" s="149">
        <v>364350</v>
      </c>
      <c r="M168" s="149" t="s">
        <v>1724</v>
      </c>
    </row>
    <row r="169" spans="1:13" hidden="1" outlineLevel="1" x14ac:dyDescent="0.25">
      <c r="A169" s="145" t="s">
        <v>1573</v>
      </c>
      <c r="B169" s="146" t="s">
        <v>1721</v>
      </c>
      <c r="C169" s="147">
        <v>41666</v>
      </c>
      <c r="D169" s="145" t="s">
        <v>1705</v>
      </c>
      <c r="E169" s="147">
        <v>41665</v>
      </c>
      <c r="F169" s="178">
        <v>1019125029</v>
      </c>
      <c r="G169" s="145" t="str">
        <f>IFERROR(VLOOKUP(F169,TERCEROS[],3,FALSE),"")</f>
        <v>Susanita Perez</v>
      </c>
      <c r="H169" s="145" t="s">
        <v>1722</v>
      </c>
      <c r="I169" s="145">
        <v>53959501</v>
      </c>
      <c r="J169" s="145" t="str">
        <f t="shared" si="18"/>
        <v>AJUSTE AL PESO</v>
      </c>
      <c r="K169" s="149">
        <v>30</v>
      </c>
      <c r="L169" s="149"/>
      <c r="M169" s="149"/>
    </row>
    <row r="170" spans="1:13" hidden="1" outlineLevel="1" x14ac:dyDescent="0.25">
      <c r="A170" s="22" t="s">
        <v>1553</v>
      </c>
      <c r="B170" s="29" t="s">
        <v>1634</v>
      </c>
      <c r="C170" s="144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4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5" t="s">
        <v>1553</v>
      </c>
      <c r="B172" s="146" t="s">
        <v>1659</v>
      </c>
      <c r="C172" s="147">
        <v>41669</v>
      </c>
      <c r="D172" s="145" t="s">
        <v>1728</v>
      </c>
      <c r="E172" s="147">
        <f>+C172</f>
        <v>41669</v>
      </c>
      <c r="F172" s="148">
        <v>999888111</v>
      </c>
      <c r="G172" s="145" t="str">
        <f>IFERROR(VLOOKUP(F172,TERCEROS[],3,FALSE),"")</f>
        <v>FINANTRO</v>
      </c>
      <c r="H172" s="145" t="s">
        <v>1729</v>
      </c>
      <c r="I172" s="145">
        <v>421005</v>
      </c>
      <c r="J172" s="145" t="str">
        <f t="shared" ref="J172:J238" si="21">IFERROR(VLOOKUP(I172,PUC,2,FALSE),"")</f>
        <v xml:space="preserve">INTERESES </v>
      </c>
      <c r="K172" s="149"/>
      <c r="L172" s="149">
        <v>36000</v>
      </c>
      <c r="M172" s="149"/>
    </row>
    <row r="173" spans="1:13" hidden="1" outlineLevel="1" x14ac:dyDescent="0.25">
      <c r="A173" s="145" t="s">
        <v>1553</v>
      </c>
      <c r="B173" s="146" t="s">
        <v>1659</v>
      </c>
      <c r="C173" s="147">
        <v>41669</v>
      </c>
      <c r="D173" s="145" t="s">
        <v>1728</v>
      </c>
      <c r="E173" s="147">
        <f t="shared" ref="E173:E176" si="22">+C173</f>
        <v>41669</v>
      </c>
      <c r="F173" s="148">
        <v>999888111</v>
      </c>
      <c r="G173" s="145" t="str">
        <f>IFERROR(VLOOKUP(F173,TERCEROS[],3,FALSE),"")</f>
        <v>FINANTRO</v>
      </c>
      <c r="H173" s="145" t="s">
        <v>1729</v>
      </c>
      <c r="I173" s="145">
        <v>13551501</v>
      </c>
      <c r="J173" s="145" t="str">
        <f t="shared" si="21"/>
        <v>RETENCION RENDIMI FINANC 7%</v>
      </c>
      <c r="K173" s="149">
        <f>+L172*0.07</f>
        <v>2520.0000000000005</v>
      </c>
      <c r="L173" s="149"/>
      <c r="M173" s="149"/>
    </row>
    <row r="174" spans="1:13" hidden="1" outlineLevel="1" x14ac:dyDescent="0.25">
      <c r="A174" s="145" t="s">
        <v>1553</v>
      </c>
      <c r="B174" s="146" t="s">
        <v>1659</v>
      </c>
      <c r="C174" s="147">
        <v>41669</v>
      </c>
      <c r="D174" s="145" t="s">
        <v>1728</v>
      </c>
      <c r="E174" s="147">
        <f t="shared" si="22"/>
        <v>41669</v>
      </c>
      <c r="F174" s="148">
        <v>999888111</v>
      </c>
      <c r="G174" s="145" t="str">
        <f>IFERROR(VLOOKUP(F174,TERCEROS[],3,FALSE),"")</f>
        <v>FINANTRO</v>
      </c>
      <c r="H174" s="145" t="s">
        <v>1729</v>
      </c>
      <c r="I174" s="145">
        <v>23657501</v>
      </c>
      <c r="J174" s="145" t="str">
        <f>IFERROR(VLOOKUP(I174,PUC,2,FALSE),"")</f>
        <v>AUTORETENC POR CREE 0,4%</v>
      </c>
      <c r="K174" s="149"/>
      <c r="L174" s="149">
        <f>+L172*0.4/100</f>
        <v>144</v>
      </c>
      <c r="M174" s="149"/>
    </row>
    <row r="175" spans="1:13" hidden="1" outlineLevel="1" x14ac:dyDescent="0.25">
      <c r="A175" s="145" t="s">
        <v>1553</v>
      </c>
      <c r="B175" s="146" t="s">
        <v>1659</v>
      </c>
      <c r="C175" s="147">
        <v>41669</v>
      </c>
      <c r="D175" s="145" t="s">
        <v>1728</v>
      </c>
      <c r="E175" s="147">
        <f t="shared" si="22"/>
        <v>41669</v>
      </c>
      <c r="F175" s="148">
        <v>999888111</v>
      </c>
      <c r="G175" s="145" t="str">
        <f>IFERROR(VLOOKUP(F175,TERCEROS[],3,FALSE),"")</f>
        <v>FINANTRO</v>
      </c>
      <c r="H175" s="145" t="s">
        <v>1729</v>
      </c>
      <c r="I175" s="145">
        <v>13559501</v>
      </c>
      <c r="J175" s="145" t="str">
        <f t="shared" si="21"/>
        <v>ANT AUTORETENC POR CREE 0,4%</v>
      </c>
      <c r="K175" s="149">
        <f>+L174</f>
        <v>144</v>
      </c>
      <c r="L175" s="149"/>
      <c r="M175" s="149"/>
    </row>
    <row r="176" spans="1:13" hidden="1" outlineLevel="1" x14ac:dyDescent="0.25">
      <c r="A176" s="145" t="s">
        <v>1553</v>
      </c>
      <c r="B176" s="146" t="s">
        <v>1659</v>
      </c>
      <c r="C176" s="147">
        <v>41669</v>
      </c>
      <c r="D176" s="145" t="s">
        <v>1728</v>
      </c>
      <c r="E176" s="147">
        <f t="shared" si="22"/>
        <v>41669</v>
      </c>
      <c r="F176" s="148">
        <v>999888111</v>
      </c>
      <c r="G176" s="145" t="str">
        <f>IFERROR(VLOOKUP(F176,TERCEROS[],3,FALSE),"")</f>
        <v>FINANTRO</v>
      </c>
      <c r="H176" s="145" t="s">
        <v>1729</v>
      </c>
      <c r="I176" s="145">
        <v>1120050101</v>
      </c>
      <c r="J176" s="145" t="str">
        <f t="shared" si="21"/>
        <v>CTA DE AHORROS NO. 04-4563-05</v>
      </c>
      <c r="K176" s="149">
        <f>+L172+L174-K173-K175</f>
        <v>33480</v>
      </c>
      <c r="L176" s="149"/>
      <c r="M176" s="149"/>
    </row>
    <row r="177" spans="1:13" hidden="1" outlineLevel="1" x14ac:dyDescent="0.25">
      <c r="A177" s="22" t="s">
        <v>1553</v>
      </c>
      <c r="B177" s="29" t="s">
        <v>1666</v>
      </c>
      <c r="C177" s="144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4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4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4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4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4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4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4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4">
        <v>41669</v>
      </c>
      <c r="D185" s="22"/>
      <c r="E185" s="22"/>
      <c r="F185" s="180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4">
        <v>41669</v>
      </c>
      <c r="D186" s="22"/>
      <c r="E186" s="22"/>
      <c r="F186" s="180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4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4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5" t="s">
        <v>1553</v>
      </c>
      <c r="B189" s="146" t="s">
        <v>1675</v>
      </c>
      <c r="C189" s="147">
        <v>41670</v>
      </c>
      <c r="D189" s="145" t="s">
        <v>1745</v>
      </c>
      <c r="E189" s="147">
        <f>+C189</f>
        <v>41670</v>
      </c>
      <c r="F189" s="148">
        <v>800555222</v>
      </c>
      <c r="G189" s="145" t="str">
        <f>IFERROR(VLOOKUP(F189,TERCEROS[],3,FALSE),"")</f>
        <v>BANCOMIO</v>
      </c>
      <c r="H189" s="145" t="s">
        <v>1746</v>
      </c>
      <c r="I189" s="145">
        <v>51159501</v>
      </c>
      <c r="J189" s="145" t="str">
        <f t="shared" si="21"/>
        <v>G.M.F. 4 X 1000</v>
      </c>
      <c r="K189" s="149">
        <v>33209</v>
      </c>
      <c r="L189" s="149"/>
      <c r="M189" s="24"/>
    </row>
    <row r="190" spans="1:13" hidden="1" outlineLevel="1" x14ac:dyDescent="0.25">
      <c r="A190" s="145" t="s">
        <v>1553</v>
      </c>
      <c r="B190" s="146" t="s">
        <v>1675</v>
      </c>
      <c r="C190" s="147">
        <v>41670</v>
      </c>
      <c r="D190" s="145" t="s">
        <v>1745</v>
      </c>
      <c r="E190" s="147">
        <f t="shared" ref="E190:E201" si="23">+C190</f>
        <v>41670</v>
      </c>
      <c r="F190" s="148">
        <v>800555222</v>
      </c>
      <c r="G190" s="145" t="str">
        <f>IFERROR(VLOOKUP(F190,TERCEROS[],3,FALSE),"")</f>
        <v>BANCOMIO</v>
      </c>
      <c r="H190" s="145" t="s">
        <v>1746</v>
      </c>
      <c r="I190" s="145">
        <v>1110050501</v>
      </c>
      <c r="J190" s="145" t="str">
        <f t="shared" si="21"/>
        <v>CUENTA CORRIENTE NO. 074-604125-08</v>
      </c>
      <c r="K190" s="149"/>
      <c r="L190" s="149">
        <f>+K189</f>
        <v>33209</v>
      </c>
      <c r="M190" s="24"/>
    </row>
    <row r="191" spans="1:13" hidden="1" outlineLevel="1" x14ac:dyDescent="0.25">
      <c r="A191" s="145" t="s">
        <v>1553</v>
      </c>
      <c r="B191" s="146" t="s">
        <v>1675</v>
      </c>
      <c r="C191" s="147">
        <v>41670</v>
      </c>
      <c r="D191" s="145" t="s">
        <v>1745</v>
      </c>
      <c r="E191" s="147">
        <f t="shared" si="23"/>
        <v>41670</v>
      </c>
      <c r="F191" s="148">
        <v>800555222</v>
      </c>
      <c r="G191" s="145" t="str">
        <f>IFERROR(VLOOKUP(F191,TERCEROS[],3,FALSE),"")</f>
        <v>BANCOMIO</v>
      </c>
      <c r="H191" s="145" t="s">
        <v>1748</v>
      </c>
      <c r="I191" s="145">
        <v>240802</v>
      </c>
      <c r="J191" s="145" t="str">
        <f t="shared" si="21"/>
        <v>IVA DESCONTABLE</v>
      </c>
      <c r="K191" s="149">
        <v>15808</v>
      </c>
      <c r="L191" s="149"/>
      <c r="M191" s="24"/>
    </row>
    <row r="192" spans="1:13" hidden="1" outlineLevel="1" x14ac:dyDescent="0.25">
      <c r="A192" s="145" t="s">
        <v>1553</v>
      </c>
      <c r="B192" s="146" t="s">
        <v>1675</v>
      </c>
      <c r="C192" s="147">
        <v>41670</v>
      </c>
      <c r="D192" s="145" t="s">
        <v>1745</v>
      </c>
      <c r="E192" s="147">
        <f t="shared" si="23"/>
        <v>41670</v>
      </c>
      <c r="F192" s="148">
        <v>800555222</v>
      </c>
      <c r="G192" s="145" t="str">
        <f>IFERROR(VLOOKUP(F192,TERCEROS[],3,FALSE),"")</f>
        <v>BANCOMIO</v>
      </c>
      <c r="H192" s="145" t="s">
        <v>1748</v>
      </c>
      <c r="I192" s="145">
        <v>1110050501</v>
      </c>
      <c r="J192" s="145" t="str">
        <f t="shared" si="21"/>
        <v>CUENTA CORRIENTE NO. 074-604125-08</v>
      </c>
      <c r="K192" s="149"/>
      <c r="L192" s="149">
        <f>+K191</f>
        <v>15808</v>
      </c>
      <c r="M192" s="24"/>
    </row>
    <row r="193" spans="1:13" hidden="1" outlineLevel="1" x14ac:dyDescent="0.25">
      <c r="A193" s="145" t="s">
        <v>1553</v>
      </c>
      <c r="B193" s="146" t="s">
        <v>1675</v>
      </c>
      <c r="C193" s="147">
        <v>41670</v>
      </c>
      <c r="D193" s="145" t="s">
        <v>1745</v>
      </c>
      <c r="E193" s="147">
        <f t="shared" si="23"/>
        <v>41670</v>
      </c>
      <c r="F193" s="148">
        <v>800555222</v>
      </c>
      <c r="G193" s="145" t="str">
        <f>IFERROR(VLOOKUP(F193,TERCEROS[],3,FALSE),"")</f>
        <v>BANCOMIO</v>
      </c>
      <c r="H193" s="145" t="s">
        <v>1749</v>
      </c>
      <c r="I193" s="145">
        <v>530505</v>
      </c>
      <c r="J193" s="145" t="str">
        <f t="shared" si="21"/>
        <v xml:space="preserve">GASTOS BANCARIOS </v>
      </c>
      <c r="K193" s="149">
        <v>89000</v>
      </c>
      <c r="L193" s="149"/>
      <c r="M193" s="24"/>
    </row>
    <row r="194" spans="1:13" hidden="1" outlineLevel="1" x14ac:dyDescent="0.25">
      <c r="A194" s="145" t="s">
        <v>1553</v>
      </c>
      <c r="B194" s="146" t="s">
        <v>1675</v>
      </c>
      <c r="C194" s="147">
        <v>41670</v>
      </c>
      <c r="D194" s="145" t="s">
        <v>1745</v>
      </c>
      <c r="E194" s="147">
        <f t="shared" si="23"/>
        <v>41670</v>
      </c>
      <c r="F194" s="148">
        <v>800555222</v>
      </c>
      <c r="G194" s="145" t="str">
        <f>IFERROR(VLOOKUP(F194,TERCEROS[],3,FALSE),"")</f>
        <v>BANCOMIO</v>
      </c>
      <c r="H194" s="145" t="s">
        <v>1749</v>
      </c>
      <c r="I194" s="145">
        <v>1110050501</v>
      </c>
      <c r="J194" s="145" t="str">
        <f t="shared" si="21"/>
        <v>CUENTA CORRIENTE NO. 074-604125-08</v>
      </c>
      <c r="K194" s="149"/>
      <c r="L194" s="149">
        <f>+K193</f>
        <v>89000</v>
      </c>
      <c r="M194" s="24"/>
    </row>
    <row r="195" spans="1:13" hidden="1" outlineLevel="1" x14ac:dyDescent="0.25">
      <c r="A195" s="145" t="s">
        <v>1553</v>
      </c>
      <c r="B195" s="146" t="s">
        <v>1675</v>
      </c>
      <c r="C195" s="147">
        <v>41670</v>
      </c>
      <c r="D195" s="145" t="s">
        <v>1745</v>
      </c>
      <c r="E195" s="147">
        <f t="shared" si="23"/>
        <v>41670</v>
      </c>
      <c r="F195" s="148">
        <v>800555222</v>
      </c>
      <c r="G195" s="145" t="str">
        <f>IFERROR(VLOOKUP(F195,TERCEROS[],3,FALSE),"")</f>
        <v>BANCOMIO</v>
      </c>
      <c r="H195" s="145" t="s">
        <v>1750</v>
      </c>
      <c r="I195" s="145">
        <v>530515</v>
      </c>
      <c r="J195" s="145" t="str">
        <f t="shared" si="21"/>
        <v xml:space="preserve">COMISIONES </v>
      </c>
      <c r="K195" s="149">
        <v>9800</v>
      </c>
      <c r="L195" s="149"/>
      <c r="M195" s="24"/>
    </row>
    <row r="196" spans="1:13" hidden="1" outlineLevel="1" x14ac:dyDescent="0.25">
      <c r="A196" s="145" t="s">
        <v>1553</v>
      </c>
      <c r="B196" s="146" t="s">
        <v>1675</v>
      </c>
      <c r="C196" s="147">
        <v>41670</v>
      </c>
      <c r="D196" s="145" t="s">
        <v>1745</v>
      </c>
      <c r="E196" s="147">
        <f t="shared" si="23"/>
        <v>41670</v>
      </c>
      <c r="F196" s="148">
        <v>800555222</v>
      </c>
      <c r="G196" s="145" t="str">
        <f>IFERROR(VLOOKUP(F196,TERCEROS[],3,FALSE),"")</f>
        <v>BANCOMIO</v>
      </c>
      <c r="H196" s="145" t="s">
        <v>1750</v>
      </c>
      <c r="I196" s="145">
        <v>1110050501</v>
      </c>
      <c r="J196" s="145" t="str">
        <f t="shared" si="21"/>
        <v>CUENTA CORRIENTE NO. 074-604125-08</v>
      </c>
      <c r="K196" s="149"/>
      <c r="L196" s="149">
        <f>+K195</f>
        <v>9800</v>
      </c>
      <c r="M196" s="24"/>
    </row>
    <row r="197" spans="1:13" hidden="1" outlineLevel="1" x14ac:dyDescent="0.25">
      <c r="A197" s="145" t="s">
        <v>1553</v>
      </c>
      <c r="B197" s="146" t="s">
        <v>1675</v>
      </c>
      <c r="C197" s="147">
        <v>41670</v>
      </c>
      <c r="D197" s="145" t="s">
        <v>1745</v>
      </c>
      <c r="E197" s="147">
        <f t="shared" si="23"/>
        <v>41670</v>
      </c>
      <c r="F197" s="148">
        <v>800255397</v>
      </c>
      <c r="G197" s="145" t="str">
        <f>IFERROR(VLOOKUP(F197,TERCEROS[],3,FALSE),"")</f>
        <v>F Y ROPA S.A.S</v>
      </c>
      <c r="H197" s="145" t="s">
        <v>1751</v>
      </c>
      <c r="I197" s="145">
        <v>130505</v>
      </c>
      <c r="J197" s="145" t="str">
        <f t="shared" si="21"/>
        <v xml:space="preserve">NACIONALES </v>
      </c>
      <c r="K197" s="149">
        <v>655463</v>
      </c>
      <c r="L197" s="149"/>
      <c r="M197" s="24"/>
    </row>
    <row r="198" spans="1:13" hidden="1" outlineLevel="1" x14ac:dyDescent="0.25">
      <c r="A198" s="145" t="s">
        <v>1553</v>
      </c>
      <c r="B198" s="146" t="s">
        <v>1675</v>
      </c>
      <c r="C198" s="147">
        <v>41670</v>
      </c>
      <c r="D198" s="145" t="s">
        <v>1745</v>
      </c>
      <c r="E198" s="147">
        <f t="shared" si="23"/>
        <v>41670</v>
      </c>
      <c r="F198" s="148">
        <v>800255397</v>
      </c>
      <c r="G198" s="145" t="str">
        <f>IFERROR(VLOOKUP(F198,TERCEROS[],3,FALSE),"")</f>
        <v>F Y ROPA S.A.S</v>
      </c>
      <c r="H198" s="145" t="s">
        <v>1751</v>
      </c>
      <c r="I198" s="145">
        <v>1110050501</v>
      </c>
      <c r="J198" s="145" t="str">
        <f t="shared" si="21"/>
        <v>CUENTA CORRIENTE NO. 074-604125-08</v>
      </c>
      <c r="K198" s="149"/>
      <c r="L198" s="149">
        <f>+K197</f>
        <v>655463</v>
      </c>
      <c r="M198" s="24"/>
    </row>
    <row r="199" spans="1:13" hidden="1" outlineLevel="1" x14ac:dyDescent="0.25">
      <c r="A199" s="145" t="s">
        <v>1553</v>
      </c>
      <c r="B199" s="146" t="s">
        <v>1675</v>
      </c>
      <c r="C199" s="147">
        <v>41670</v>
      </c>
      <c r="D199" s="145" t="s">
        <v>1745</v>
      </c>
      <c r="E199" s="147">
        <f t="shared" si="23"/>
        <v>41670</v>
      </c>
      <c r="F199" s="148">
        <v>999666777</v>
      </c>
      <c r="G199" s="145" t="str">
        <f>IFERROR(VLOOKUP(F199,TERCEROS[],3,FALSE),"")</f>
        <v>EL VESTIDOR S.A.S.</v>
      </c>
      <c r="H199" s="145" t="s">
        <v>1752</v>
      </c>
      <c r="I199" s="145">
        <v>130505</v>
      </c>
      <c r="J199" s="145" t="str">
        <f t="shared" si="21"/>
        <v xml:space="preserve">NACIONALES </v>
      </c>
      <c r="K199" s="149"/>
      <c r="L199" s="149">
        <v>1364837.5</v>
      </c>
      <c r="M199" s="24"/>
    </row>
    <row r="200" spans="1:13" hidden="1" outlineLevel="1" x14ac:dyDescent="0.25">
      <c r="A200" s="145" t="s">
        <v>1553</v>
      </c>
      <c r="B200" s="146" t="s">
        <v>1675</v>
      </c>
      <c r="C200" s="147">
        <v>41670</v>
      </c>
      <c r="D200" s="145" t="s">
        <v>1745</v>
      </c>
      <c r="E200" s="147">
        <f t="shared" ref="E200" si="24">+C200</f>
        <v>41670</v>
      </c>
      <c r="F200" s="148">
        <v>999666777</v>
      </c>
      <c r="G200" s="145" t="str">
        <f>IFERROR(VLOOKUP(F200,TERCEROS[],3,FALSE),"")</f>
        <v>EL VESTIDOR S.A.S.</v>
      </c>
      <c r="H200" s="145" t="s">
        <v>1752</v>
      </c>
      <c r="I200" s="145">
        <v>530535</v>
      </c>
      <c r="J200" s="145" t="str">
        <f t="shared" si="21"/>
        <v xml:space="preserve">DESCUENTOS COMERCIALES CONDICIONADOS </v>
      </c>
      <c r="K200" s="149">
        <v>136483.75</v>
      </c>
      <c r="L200" s="149"/>
      <c r="M200" s="24"/>
    </row>
    <row r="201" spans="1:13" hidden="1" outlineLevel="1" x14ac:dyDescent="0.25">
      <c r="A201" s="145" t="s">
        <v>1553</v>
      </c>
      <c r="B201" s="146" t="s">
        <v>1675</v>
      </c>
      <c r="C201" s="147">
        <v>41670</v>
      </c>
      <c r="D201" s="145" t="s">
        <v>1745</v>
      </c>
      <c r="E201" s="147">
        <f t="shared" si="23"/>
        <v>41670</v>
      </c>
      <c r="F201" s="148">
        <v>999666777</v>
      </c>
      <c r="G201" s="145" t="str">
        <f>IFERROR(VLOOKUP(F201,TERCEROS[],3,FALSE),"")</f>
        <v>EL VESTIDOR S.A.S.</v>
      </c>
      <c r="H201" s="145" t="s">
        <v>1752</v>
      </c>
      <c r="I201" s="145">
        <v>1110050501</v>
      </c>
      <c r="J201" s="145" t="str">
        <f t="shared" si="21"/>
        <v>CUENTA CORRIENTE NO. 074-604125-08</v>
      </c>
      <c r="K201" s="149">
        <f>+L199-K200</f>
        <v>1228353.75</v>
      </c>
      <c r="L201" s="149"/>
      <c r="M201" s="24"/>
    </row>
    <row r="202" spans="1:13" hidden="1" outlineLevel="1" x14ac:dyDescent="0.25">
      <c r="A202" s="22" t="s">
        <v>1553</v>
      </c>
      <c r="B202" s="29" t="s">
        <v>1695</v>
      </c>
      <c r="C202" s="144">
        <v>41670</v>
      </c>
      <c r="D202" s="22" t="s">
        <v>1753</v>
      </c>
      <c r="E202" s="144">
        <f>+C202</f>
        <v>41670</v>
      </c>
      <c r="F202" s="180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4">
        <v>41670</v>
      </c>
      <c r="D203" s="22" t="s">
        <v>1753</v>
      </c>
      <c r="E203" s="144">
        <f t="shared" ref="E203:E208" si="25">+C203</f>
        <v>41670</v>
      </c>
      <c r="F203" s="180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4">
        <v>41670</v>
      </c>
      <c r="D204" s="22" t="s">
        <v>1753</v>
      </c>
      <c r="E204" s="144">
        <f t="shared" si="25"/>
        <v>41670</v>
      </c>
      <c r="F204" s="180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4">
        <v>41670</v>
      </c>
      <c r="D205" s="22" t="s">
        <v>1753</v>
      </c>
      <c r="E205" s="144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4">
        <v>41670</v>
      </c>
      <c r="D206" s="22" t="s">
        <v>1753</v>
      </c>
      <c r="E206" s="144">
        <f t="shared" si="25"/>
        <v>41670</v>
      </c>
      <c r="F206" s="180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4">
        <v>41670</v>
      </c>
      <c r="D207" s="22" t="s">
        <v>1753</v>
      </c>
      <c r="E207" s="144">
        <f t="shared" si="25"/>
        <v>41670</v>
      </c>
      <c r="F207" s="180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4">
        <v>41670</v>
      </c>
      <c r="D208" s="22" t="s">
        <v>1753</v>
      </c>
      <c r="E208" s="144">
        <f t="shared" si="25"/>
        <v>41670</v>
      </c>
      <c r="F208" s="180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4">
        <v>41670</v>
      </c>
      <c r="D209" s="22" t="s">
        <v>1753</v>
      </c>
      <c r="E209" s="144">
        <f t="shared" ref="E209:E220" si="26">+C209</f>
        <v>41670</v>
      </c>
      <c r="F209" s="180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4">
        <v>41670</v>
      </c>
      <c r="D210" s="22" t="s">
        <v>1753</v>
      </c>
      <c r="E210" s="144">
        <f t="shared" si="26"/>
        <v>41670</v>
      </c>
      <c r="F210" s="180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4">
        <v>41670</v>
      </c>
      <c r="D211" s="22" t="s">
        <v>1753</v>
      </c>
      <c r="E211" s="144">
        <f t="shared" si="26"/>
        <v>41670</v>
      </c>
      <c r="F211" s="180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4">
        <v>41670</v>
      </c>
      <c r="D212" s="22" t="s">
        <v>1753</v>
      </c>
      <c r="E212" s="144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4">
        <v>41670</v>
      </c>
      <c r="D213" s="22" t="s">
        <v>1753</v>
      </c>
      <c r="E213" s="144">
        <f t="shared" si="26"/>
        <v>41670</v>
      </c>
      <c r="F213" s="180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4">
        <v>41670</v>
      </c>
      <c r="D214" s="22" t="s">
        <v>1753</v>
      </c>
      <c r="E214" s="144">
        <f t="shared" si="26"/>
        <v>41670</v>
      </c>
      <c r="F214" s="180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4">
        <v>41670</v>
      </c>
      <c r="D215" s="22" t="s">
        <v>1753</v>
      </c>
      <c r="E215" s="144">
        <f t="shared" si="26"/>
        <v>41670</v>
      </c>
      <c r="F215" s="180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4">
        <v>41670</v>
      </c>
      <c r="D216" s="22" t="s">
        <v>1753</v>
      </c>
      <c r="E216" s="144">
        <f t="shared" si="26"/>
        <v>41670</v>
      </c>
      <c r="F216" s="180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4">
        <v>41670</v>
      </c>
      <c r="D217" s="22" t="s">
        <v>1753</v>
      </c>
      <c r="E217" s="144">
        <f t="shared" si="26"/>
        <v>41670</v>
      </c>
      <c r="F217" s="180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4">
        <v>41670</v>
      </c>
      <c r="D218" s="22" t="s">
        <v>1753</v>
      </c>
      <c r="E218" s="144">
        <f t="shared" si="26"/>
        <v>41670</v>
      </c>
      <c r="F218" s="180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4">
        <v>41670</v>
      </c>
      <c r="D219" s="22" t="s">
        <v>1753</v>
      </c>
      <c r="E219" s="144">
        <f t="shared" si="26"/>
        <v>41670</v>
      </c>
      <c r="F219" s="180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4">
        <v>41670</v>
      </c>
      <c r="D220" s="22" t="s">
        <v>1753</v>
      </c>
      <c r="E220" s="144">
        <f t="shared" si="26"/>
        <v>41670</v>
      </c>
      <c r="F220" s="180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5" t="s">
        <v>1553</v>
      </c>
      <c r="B221" s="146" t="s">
        <v>1721</v>
      </c>
      <c r="C221" s="147">
        <v>41670</v>
      </c>
      <c r="D221" s="145" t="s">
        <v>1753</v>
      </c>
      <c r="E221" s="147">
        <f>+C221</f>
        <v>41670</v>
      </c>
      <c r="F221" s="178">
        <v>45256257</v>
      </c>
      <c r="G221" s="145" t="str">
        <f>IFERROR(VLOOKUP(F221,TERCEROS[],3,FALSE),"")</f>
        <v>Gerardo Perez</v>
      </c>
      <c r="H221" s="145" t="s">
        <v>1768</v>
      </c>
      <c r="I221" s="145">
        <v>520570</v>
      </c>
      <c r="J221" s="145" t="str">
        <f t="shared" si="21"/>
        <v>APORTES A FONDOS DE PENSIONES Y/O CESANTIAS</v>
      </c>
      <c r="K221" s="149">
        <v>76306.999999999985</v>
      </c>
      <c r="L221" s="149"/>
      <c r="M221" s="24"/>
    </row>
    <row r="222" spans="1:13" hidden="1" outlineLevel="1" x14ac:dyDescent="0.25">
      <c r="A222" s="145" t="s">
        <v>1553</v>
      </c>
      <c r="B222" s="146" t="s">
        <v>1721</v>
      </c>
      <c r="C222" s="147">
        <v>41670</v>
      </c>
      <c r="D222" s="145" t="s">
        <v>1753</v>
      </c>
      <c r="E222" s="147">
        <f t="shared" ref="E222:E251" si="27">+C222</f>
        <v>41670</v>
      </c>
      <c r="F222" s="178">
        <v>1019125245</v>
      </c>
      <c r="G222" s="145" t="str">
        <f>IFERROR(VLOOKUP(F222,TERCEROS[],3,FALSE),"")</f>
        <v>ROSA MORALES</v>
      </c>
      <c r="H222" s="145" t="s">
        <v>1769</v>
      </c>
      <c r="I222" s="145">
        <v>520570</v>
      </c>
      <c r="J222" s="145" t="str">
        <f t="shared" si="21"/>
        <v>APORTES A FONDOS DE PENSIONES Y/O CESANTIAS</v>
      </c>
      <c r="K222" s="149">
        <v>86559.999999999985</v>
      </c>
      <c r="L222" s="149"/>
      <c r="M222" s="24"/>
    </row>
    <row r="223" spans="1:13" hidden="1" outlineLevel="1" x14ac:dyDescent="0.25">
      <c r="A223" s="145" t="s">
        <v>1553</v>
      </c>
      <c r="B223" s="146" t="s">
        <v>1721</v>
      </c>
      <c r="C223" s="147">
        <v>41670</v>
      </c>
      <c r="D223" s="145" t="s">
        <v>1753</v>
      </c>
      <c r="E223" s="147">
        <f t="shared" si="27"/>
        <v>41670</v>
      </c>
      <c r="F223" s="178">
        <v>89254178</v>
      </c>
      <c r="G223" s="145" t="str">
        <f>IFERROR(VLOOKUP(F223,TERCEROS[],3,FALSE),"")</f>
        <v>CARMENZA TORO</v>
      </c>
      <c r="H223" s="145" t="s">
        <v>1768</v>
      </c>
      <c r="I223" s="145">
        <v>520570</v>
      </c>
      <c r="J223" s="145" t="str">
        <f t="shared" si="21"/>
        <v>APORTES A FONDOS DE PENSIONES Y/O CESANTIAS</v>
      </c>
      <c r="K223" s="149">
        <v>330000</v>
      </c>
      <c r="L223" s="149"/>
      <c r="M223" s="24"/>
    </row>
    <row r="224" spans="1:13" hidden="1" outlineLevel="1" x14ac:dyDescent="0.25">
      <c r="A224" s="145" t="s">
        <v>1553</v>
      </c>
      <c r="B224" s="146" t="s">
        <v>1721</v>
      </c>
      <c r="C224" s="147">
        <v>41670</v>
      </c>
      <c r="D224" s="145" t="s">
        <v>1753</v>
      </c>
      <c r="E224" s="147">
        <f t="shared" si="27"/>
        <v>41670</v>
      </c>
      <c r="F224" s="178">
        <v>800333333</v>
      </c>
      <c r="G224" s="145" t="str">
        <f>IFERROR(VLOOKUP(F224,TERCEROS[],3,FALSE),"")</f>
        <v>PENSIONES NOVA</v>
      </c>
      <c r="H224" s="145" t="s">
        <v>1770</v>
      </c>
      <c r="I224" s="145">
        <v>238030</v>
      </c>
      <c r="J224" s="145" t="str">
        <f t="shared" si="21"/>
        <v xml:space="preserve">FONDOS DE CESANTIAS Y/O PENSIONES </v>
      </c>
      <c r="K224" s="149"/>
      <c r="L224" s="149">
        <f>+K221+K222</f>
        <v>162866.99999999997</v>
      </c>
      <c r="M224" s="24"/>
    </row>
    <row r="225" spans="1:13" hidden="1" outlineLevel="1" x14ac:dyDescent="0.25">
      <c r="A225" s="145" t="s">
        <v>1553</v>
      </c>
      <c r="B225" s="146" t="s">
        <v>1721</v>
      </c>
      <c r="C225" s="147">
        <v>41670</v>
      </c>
      <c r="D225" s="145" t="s">
        <v>1753</v>
      </c>
      <c r="E225" s="147">
        <f t="shared" si="27"/>
        <v>41670</v>
      </c>
      <c r="F225" s="178">
        <v>900777777</v>
      </c>
      <c r="G225" s="145" t="str">
        <f>IFERROR(VLOOKUP(F225,TERCEROS[],3,FALSE),"")</f>
        <v>PRIMAVERA PENSIONES</v>
      </c>
      <c r="H225" s="145" t="s">
        <v>1771</v>
      </c>
      <c r="I225" s="145">
        <v>238030</v>
      </c>
      <c r="J225" s="145" t="str">
        <f t="shared" ref="J225:J234" si="28">IFERROR(VLOOKUP(I225,PUC,2,FALSE),"")</f>
        <v xml:space="preserve">FONDOS DE CESANTIAS Y/O PENSIONES </v>
      </c>
      <c r="K225" s="149"/>
      <c r="L225" s="149">
        <f>+K223</f>
        <v>330000</v>
      </c>
      <c r="M225" s="24"/>
    </row>
    <row r="226" spans="1:13" hidden="1" outlineLevel="1" x14ac:dyDescent="0.25">
      <c r="A226" s="145" t="s">
        <v>1553</v>
      </c>
      <c r="B226" s="146" t="s">
        <v>1721</v>
      </c>
      <c r="C226" s="147">
        <v>41670</v>
      </c>
      <c r="D226" s="145" t="s">
        <v>1753</v>
      </c>
      <c r="E226" s="147">
        <f t="shared" ref="E226:E227" si="29">+C226</f>
        <v>41670</v>
      </c>
      <c r="F226" s="178">
        <v>555555555</v>
      </c>
      <c r="G226" s="145" t="str">
        <f>IFERROR(VLOOKUP(F226,TERCEROS[],3,FALSE),"")</f>
        <v>ARL GREEN</v>
      </c>
      <c r="H226" s="145" t="s">
        <v>1774</v>
      </c>
      <c r="I226" s="145">
        <v>520568</v>
      </c>
      <c r="J226" s="145" t="str">
        <f t="shared" si="28"/>
        <v>ENTIDADES PROMOTORAS DE RIESGOS LABORALES</v>
      </c>
      <c r="K226" s="149">
        <v>21439.714500000002</v>
      </c>
      <c r="L226" s="149"/>
      <c r="M226" s="24"/>
    </row>
    <row r="227" spans="1:13" hidden="1" outlineLevel="1" x14ac:dyDescent="0.25">
      <c r="A227" s="145" t="s">
        <v>1553</v>
      </c>
      <c r="B227" s="146" t="s">
        <v>1721</v>
      </c>
      <c r="C227" s="147">
        <v>41670</v>
      </c>
      <c r="D227" s="145" t="s">
        <v>1753</v>
      </c>
      <c r="E227" s="147">
        <f t="shared" si="29"/>
        <v>41670</v>
      </c>
      <c r="F227" s="178">
        <v>555555555</v>
      </c>
      <c r="G227" s="145" t="str">
        <f>IFERROR(VLOOKUP(F227,TERCEROS[],3,FALSE),"")</f>
        <v>ARL GREEN</v>
      </c>
      <c r="H227" s="145" t="s">
        <v>1774</v>
      </c>
      <c r="I227" s="145">
        <v>237006</v>
      </c>
      <c r="J227" s="145" t="str">
        <f t="shared" si="28"/>
        <v>ENTIDADES PROMOTORAS DE RIESGOS LABORALES</v>
      </c>
      <c r="K227" s="149"/>
      <c r="L227" s="149">
        <f>+K226</f>
        <v>21439.714500000002</v>
      </c>
      <c r="M227" s="24"/>
    </row>
    <row r="228" spans="1:13" hidden="1" outlineLevel="1" x14ac:dyDescent="0.25">
      <c r="A228" s="145" t="s">
        <v>1553</v>
      </c>
      <c r="B228" s="146" t="s">
        <v>1721</v>
      </c>
      <c r="C228" s="147">
        <v>41670</v>
      </c>
      <c r="D228" s="145" t="s">
        <v>1753</v>
      </c>
      <c r="E228" s="147">
        <f t="shared" si="27"/>
        <v>41670</v>
      </c>
      <c r="F228" s="178">
        <v>45256257</v>
      </c>
      <c r="G228" s="145" t="str">
        <f>IFERROR(VLOOKUP(F228,TERCEROS[],3,FALSE),"")</f>
        <v>Gerardo Perez</v>
      </c>
      <c r="H228" s="145" t="s">
        <v>1772</v>
      </c>
      <c r="I228" s="145">
        <v>520530</v>
      </c>
      <c r="J228" s="145" t="str">
        <f t="shared" si="28"/>
        <v xml:space="preserve">CESANTIAS </v>
      </c>
      <c r="K228" s="149">
        <v>58988.612583333328</v>
      </c>
      <c r="L228" s="149"/>
      <c r="M228" s="24"/>
    </row>
    <row r="229" spans="1:13" hidden="1" outlineLevel="1" x14ac:dyDescent="0.25">
      <c r="A229" s="145" t="s">
        <v>1553</v>
      </c>
      <c r="B229" s="146" t="s">
        <v>1721</v>
      </c>
      <c r="C229" s="147">
        <v>41670</v>
      </c>
      <c r="D229" s="145" t="s">
        <v>1753</v>
      </c>
      <c r="E229" s="147">
        <f t="shared" si="27"/>
        <v>41670</v>
      </c>
      <c r="F229" s="178">
        <v>45256257</v>
      </c>
      <c r="G229" s="145" t="str">
        <f>IFERROR(VLOOKUP(F229,TERCEROS[],3,FALSE),"")</f>
        <v>Gerardo Perez</v>
      </c>
      <c r="H229" s="145" t="s">
        <v>1772</v>
      </c>
      <c r="I229" s="145">
        <v>261005</v>
      </c>
      <c r="J229" s="145" t="str">
        <f t="shared" si="28"/>
        <v xml:space="preserve">CESANTIAS </v>
      </c>
      <c r="K229" s="149"/>
      <c r="L229" s="149">
        <f>+K228</f>
        <v>58988.612583333328</v>
      </c>
      <c r="M229" s="24"/>
    </row>
    <row r="230" spans="1:13" hidden="1" outlineLevel="1" x14ac:dyDescent="0.25">
      <c r="A230" s="145" t="s">
        <v>1553</v>
      </c>
      <c r="B230" s="146" t="s">
        <v>1721</v>
      </c>
      <c r="C230" s="147">
        <v>41670</v>
      </c>
      <c r="D230" s="145" t="s">
        <v>1753</v>
      </c>
      <c r="E230" s="147">
        <f t="shared" si="27"/>
        <v>41670</v>
      </c>
      <c r="F230" s="178">
        <v>45256257</v>
      </c>
      <c r="G230" s="145" t="str">
        <f>IFERROR(VLOOKUP(F230,TERCEROS[],3,FALSE),"")</f>
        <v>Gerardo Perez</v>
      </c>
      <c r="H230" s="145" t="s">
        <v>1772</v>
      </c>
      <c r="I230" s="145">
        <v>520536</v>
      </c>
      <c r="J230" s="145" t="str">
        <f t="shared" si="28"/>
        <v xml:space="preserve">PRIMA DE SERVICIOS </v>
      </c>
      <c r="K230" s="149">
        <v>58988.612583333328</v>
      </c>
      <c r="L230" s="149"/>
      <c r="M230" s="24"/>
    </row>
    <row r="231" spans="1:13" hidden="1" outlineLevel="1" x14ac:dyDescent="0.25">
      <c r="A231" s="145" t="s">
        <v>1553</v>
      </c>
      <c r="B231" s="146" t="s">
        <v>1721</v>
      </c>
      <c r="C231" s="147">
        <v>41670</v>
      </c>
      <c r="D231" s="145" t="s">
        <v>1753</v>
      </c>
      <c r="E231" s="147">
        <f t="shared" si="27"/>
        <v>41670</v>
      </c>
      <c r="F231" s="178">
        <v>45256257</v>
      </c>
      <c r="G231" s="145" t="str">
        <f>IFERROR(VLOOKUP(F231,TERCEROS[],3,FALSE),"")</f>
        <v>Gerardo Perez</v>
      </c>
      <c r="H231" s="145" t="s">
        <v>1772</v>
      </c>
      <c r="I231" s="145">
        <v>261020</v>
      </c>
      <c r="J231" s="145" t="str">
        <f t="shared" si="28"/>
        <v xml:space="preserve">PRIMA DE SERVICIOS </v>
      </c>
      <c r="K231" s="149"/>
      <c r="L231" s="149">
        <f t="shared" ref="L231:L235" si="30">+K230</f>
        <v>58988.612583333328</v>
      </c>
      <c r="M231" s="24"/>
    </row>
    <row r="232" spans="1:13" hidden="1" outlineLevel="1" x14ac:dyDescent="0.25">
      <c r="A232" s="145" t="s">
        <v>1553</v>
      </c>
      <c r="B232" s="146" t="s">
        <v>1721</v>
      </c>
      <c r="C232" s="147">
        <v>41670</v>
      </c>
      <c r="D232" s="145" t="s">
        <v>1753</v>
      </c>
      <c r="E232" s="147">
        <f t="shared" si="27"/>
        <v>41670</v>
      </c>
      <c r="F232" s="178">
        <v>45256257</v>
      </c>
      <c r="G232" s="145" t="str">
        <f>IFERROR(VLOOKUP(F232,TERCEROS[],3,FALSE),"")</f>
        <v>Gerardo Perez</v>
      </c>
      <c r="H232" s="145" t="s">
        <v>1772</v>
      </c>
      <c r="I232" s="145">
        <v>520533</v>
      </c>
      <c r="J232" s="145" t="str">
        <f t="shared" si="28"/>
        <v xml:space="preserve">INTERESES SOBRE CESANTIAS </v>
      </c>
      <c r="K232" s="149">
        <v>7078.6335099999988</v>
      </c>
      <c r="L232" s="149"/>
      <c r="M232" s="24"/>
    </row>
    <row r="233" spans="1:13" hidden="1" outlineLevel="1" x14ac:dyDescent="0.25">
      <c r="A233" s="145" t="s">
        <v>1553</v>
      </c>
      <c r="B233" s="146" t="s">
        <v>1721</v>
      </c>
      <c r="C233" s="147">
        <v>41670</v>
      </c>
      <c r="D233" s="145" t="s">
        <v>1753</v>
      </c>
      <c r="E233" s="147">
        <f t="shared" si="27"/>
        <v>41670</v>
      </c>
      <c r="F233" s="178">
        <v>45256257</v>
      </c>
      <c r="G233" s="145" t="str">
        <f>IFERROR(VLOOKUP(F233,TERCEROS[],3,FALSE),"")</f>
        <v>Gerardo Perez</v>
      </c>
      <c r="H233" s="145" t="s">
        <v>1772</v>
      </c>
      <c r="I233" s="145">
        <v>261010</v>
      </c>
      <c r="J233" s="145" t="str">
        <f t="shared" si="28"/>
        <v xml:space="preserve">INTERESES SOBRE CESANTIAS </v>
      </c>
      <c r="K233" s="149"/>
      <c r="L233" s="149">
        <f t="shared" si="30"/>
        <v>7078.6335099999988</v>
      </c>
      <c r="M233" s="24"/>
    </row>
    <row r="234" spans="1:13" hidden="1" outlineLevel="1" x14ac:dyDescent="0.25">
      <c r="A234" s="145" t="s">
        <v>1553</v>
      </c>
      <c r="B234" s="146" t="s">
        <v>1721</v>
      </c>
      <c r="C234" s="147">
        <v>41670</v>
      </c>
      <c r="D234" s="145" t="s">
        <v>1753</v>
      </c>
      <c r="E234" s="147">
        <f t="shared" si="27"/>
        <v>41670</v>
      </c>
      <c r="F234" s="178">
        <v>45256257</v>
      </c>
      <c r="G234" s="145" t="str">
        <f>IFERROR(VLOOKUP(F234,TERCEROS[],3,FALSE),"")</f>
        <v>Gerardo Perez</v>
      </c>
      <c r="H234" s="145" t="s">
        <v>1772</v>
      </c>
      <c r="I234" s="145">
        <v>520539</v>
      </c>
      <c r="J234" s="145" t="str">
        <f t="shared" si="28"/>
        <v xml:space="preserve">VACACIONES </v>
      </c>
      <c r="K234" s="149">
        <v>26516.682499999999</v>
      </c>
      <c r="L234" s="149"/>
      <c r="M234" s="24"/>
    </row>
    <row r="235" spans="1:13" hidden="1" outlineLevel="1" x14ac:dyDescent="0.25">
      <c r="A235" s="145" t="s">
        <v>1553</v>
      </c>
      <c r="B235" s="146" t="s">
        <v>1721</v>
      </c>
      <c r="C235" s="147">
        <v>41670</v>
      </c>
      <c r="D235" s="145" t="s">
        <v>1753</v>
      </c>
      <c r="E235" s="147">
        <f t="shared" si="27"/>
        <v>41670</v>
      </c>
      <c r="F235" s="178">
        <v>45256257</v>
      </c>
      <c r="G235" s="145" t="str">
        <f>IFERROR(VLOOKUP(F235,TERCEROS[],3,FALSE),"")</f>
        <v>Gerardo Perez</v>
      </c>
      <c r="H235" s="145" t="s">
        <v>1772</v>
      </c>
      <c r="I235" s="145">
        <v>261015</v>
      </c>
      <c r="J235" s="145" t="str">
        <f t="shared" si="21"/>
        <v xml:space="preserve">VACACIONES </v>
      </c>
      <c r="K235" s="149"/>
      <c r="L235" s="149">
        <f t="shared" si="30"/>
        <v>26516.682499999999</v>
      </c>
      <c r="M235" s="24"/>
    </row>
    <row r="236" spans="1:13" hidden="1" outlineLevel="1" x14ac:dyDescent="0.25">
      <c r="A236" s="145" t="s">
        <v>1553</v>
      </c>
      <c r="B236" s="146" t="s">
        <v>1721</v>
      </c>
      <c r="C236" s="147">
        <v>41670</v>
      </c>
      <c r="D236" s="145" t="s">
        <v>1753</v>
      </c>
      <c r="E236" s="147">
        <f t="shared" si="27"/>
        <v>41670</v>
      </c>
      <c r="F236" s="178">
        <v>1019125245</v>
      </c>
      <c r="G236" s="145" t="str">
        <f>IFERROR(VLOOKUP(F236,TERCEROS[],3,FALSE),"")</f>
        <v>ROSA MORALES</v>
      </c>
      <c r="H236" s="145" t="s">
        <v>1773</v>
      </c>
      <c r="I236" s="145">
        <v>520530</v>
      </c>
      <c r="J236" s="145" t="str">
        <f t="shared" si="21"/>
        <v xml:space="preserve">CESANTIAS </v>
      </c>
      <c r="K236" s="149">
        <v>65708.482666666663</v>
      </c>
      <c r="L236" s="149"/>
      <c r="M236" s="24"/>
    </row>
    <row r="237" spans="1:13" hidden="1" outlineLevel="1" x14ac:dyDescent="0.25">
      <c r="A237" s="145" t="s">
        <v>1553</v>
      </c>
      <c r="B237" s="146" t="s">
        <v>1721</v>
      </c>
      <c r="C237" s="147">
        <v>41670</v>
      </c>
      <c r="D237" s="145" t="s">
        <v>1753</v>
      </c>
      <c r="E237" s="147">
        <f t="shared" si="27"/>
        <v>41670</v>
      </c>
      <c r="F237" s="178">
        <v>1019125245</v>
      </c>
      <c r="G237" s="145" t="str">
        <f>IFERROR(VLOOKUP(F237,TERCEROS[],3,FALSE),"")</f>
        <v>ROSA MORALES</v>
      </c>
      <c r="H237" s="145" t="s">
        <v>1773</v>
      </c>
      <c r="I237" s="145">
        <v>261005</v>
      </c>
      <c r="J237" s="145" t="str">
        <f t="shared" si="21"/>
        <v xml:space="preserve">CESANTIAS </v>
      </c>
      <c r="K237" s="149"/>
      <c r="L237" s="149">
        <f>+K236</f>
        <v>65708.482666666663</v>
      </c>
      <c r="M237" s="24"/>
    </row>
    <row r="238" spans="1:13" hidden="1" outlineLevel="1" x14ac:dyDescent="0.25">
      <c r="A238" s="145" t="s">
        <v>1553</v>
      </c>
      <c r="B238" s="146" t="s">
        <v>1721</v>
      </c>
      <c r="C238" s="147">
        <v>41670</v>
      </c>
      <c r="D238" s="145" t="s">
        <v>1753</v>
      </c>
      <c r="E238" s="147">
        <f t="shared" si="27"/>
        <v>41670</v>
      </c>
      <c r="F238" s="178">
        <v>1019125245</v>
      </c>
      <c r="G238" s="145" t="str">
        <f>IFERROR(VLOOKUP(F238,TERCEROS[],3,FALSE),"")</f>
        <v>ROSA MORALES</v>
      </c>
      <c r="H238" s="145" t="s">
        <v>1773</v>
      </c>
      <c r="I238" s="145">
        <v>520536</v>
      </c>
      <c r="J238" s="145" t="str">
        <f t="shared" si="21"/>
        <v xml:space="preserve">PRIMA DE SERVICIOS </v>
      </c>
      <c r="K238" s="149">
        <v>65708.482666666663</v>
      </c>
      <c r="L238" s="149"/>
      <c r="M238" s="24"/>
    </row>
    <row r="239" spans="1:13" hidden="1" outlineLevel="1" x14ac:dyDescent="0.25">
      <c r="A239" s="145" t="s">
        <v>1553</v>
      </c>
      <c r="B239" s="146" t="s">
        <v>1721</v>
      </c>
      <c r="C239" s="147">
        <v>41670</v>
      </c>
      <c r="D239" s="145" t="s">
        <v>1753</v>
      </c>
      <c r="E239" s="147">
        <f t="shared" si="27"/>
        <v>41670</v>
      </c>
      <c r="F239" s="178">
        <v>1019125245</v>
      </c>
      <c r="G239" s="145" t="str">
        <f>IFERROR(VLOOKUP(F239,TERCEROS[],3,FALSE),"")</f>
        <v>ROSA MORALES</v>
      </c>
      <c r="H239" s="145" t="s">
        <v>1773</v>
      </c>
      <c r="I239" s="145">
        <v>261020</v>
      </c>
      <c r="J239" s="145" t="str">
        <f t="shared" ref="J239:J251" si="31">IFERROR(VLOOKUP(I239,PUC,2,FALSE),"")</f>
        <v xml:space="preserve">PRIMA DE SERVICIOS </v>
      </c>
      <c r="K239" s="149"/>
      <c r="L239" s="149">
        <f t="shared" ref="L239:L243" si="32">+K238</f>
        <v>65708.482666666663</v>
      </c>
      <c r="M239" s="24"/>
    </row>
    <row r="240" spans="1:13" hidden="1" outlineLevel="1" x14ac:dyDescent="0.25">
      <c r="A240" s="145" t="s">
        <v>1553</v>
      </c>
      <c r="B240" s="146" t="s">
        <v>1721</v>
      </c>
      <c r="C240" s="147">
        <v>41670</v>
      </c>
      <c r="D240" s="145" t="s">
        <v>1753</v>
      </c>
      <c r="E240" s="147">
        <f t="shared" si="27"/>
        <v>41670</v>
      </c>
      <c r="F240" s="178">
        <v>1019125245</v>
      </c>
      <c r="G240" s="145" t="str">
        <f>IFERROR(VLOOKUP(F240,TERCEROS[],3,FALSE),"")</f>
        <v>ROSA MORALES</v>
      </c>
      <c r="H240" s="145" t="s">
        <v>1773</v>
      </c>
      <c r="I240" s="145">
        <v>520533</v>
      </c>
      <c r="J240" s="145" t="str">
        <f t="shared" si="31"/>
        <v xml:space="preserve">INTERESES SOBRE CESANTIAS </v>
      </c>
      <c r="K240" s="149">
        <v>7885.0179199999993</v>
      </c>
      <c r="L240" s="149"/>
      <c r="M240" s="24"/>
    </row>
    <row r="241" spans="1:13" hidden="1" outlineLevel="1" x14ac:dyDescent="0.25">
      <c r="A241" s="145" t="s">
        <v>1553</v>
      </c>
      <c r="B241" s="146" t="s">
        <v>1721</v>
      </c>
      <c r="C241" s="147">
        <v>41670</v>
      </c>
      <c r="D241" s="145" t="s">
        <v>1753</v>
      </c>
      <c r="E241" s="147">
        <f t="shared" si="27"/>
        <v>41670</v>
      </c>
      <c r="F241" s="178">
        <v>1019125245</v>
      </c>
      <c r="G241" s="145" t="str">
        <f>IFERROR(VLOOKUP(F241,TERCEROS[],3,FALSE),"")</f>
        <v>ROSA MORALES</v>
      </c>
      <c r="H241" s="145" t="s">
        <v>1773</v>
      </c>
      <c r="I241" s="145">
        <v>261010</v>
      </c>
      <c r="J241" s="145" t="str">
        <f t="shared" si="31"/>
        <v xml:space="preserve">INTERESES SOBRE CESANTIAS </v>
      </c>
      <c r="K241" s="149"/>
      <c r="L241" s="149">
        <f t="shared" si="32"/>
        <v>7885.0179199999993</v>
      </c>
      <c r="M241" s="24"/>
    </row>
    <row r="242" spans="1:13" hidden="1" outlineLevel="1" x14ac:dyDescent="0.25">
      <c r="A242" s="145" t="s">
        <v>1553</v>
      </c>
      <c r="B242" s="146" t="s">
        <v>1721</v>
      </c>
      <c r="C242" s="147">
        <v>41670</v>
      </c>
      <c r="D242" s="145" t="s">
        <v>1753</v>
      </c>
      <c r="E242" s="147">
        <f t="shared" si="27"/>
        <v>41670</v>
      </c>
      <c r="F242" s="178">
        <v>1019125245</v>
      </c>
      <c r="G242" s="145" t="str">
        <f>IFERROR(VLOOKUP(F242,TERCEROS[],3,FALSE),"")</f>
        <v>ROSA MORALES</v>
      </c>
      <c r="H242" s="145" t="s">
        <v>1773</v>
      </c>
      <c r="I242" s="145">
        <v>520539</v>
      </c>
      <c r="J242" s="145" t="str">
        <f t="shared" si="31"/>
        <v xml:space="preserve">VACACIONES </v>
      </c>
      <c r="K242" s="149">
        <v>30079.599999999995</v>
      </c>
      <c r="L242" s="149"/>
      <c r="M242" s="24"/>
    </row>
    <row r="243" spans="1:13" hidden="1" outlineLevel="1" x14ac:dyDescent="0.25">
      <c r="A243" s="145" t="s">
        <v>1553</v>
      </c>
      <c r="B243" s="146" t="s">
        <v>1721</v>
      </c>
      <c r="C243" s="147">
        <v>41670</v>
      </c>
      <c r="D243" s="145" t="s">
        <v>1753</v>
      </c>
      <c r="E243" s="147">
        <f t="shared" si="27"/>
        <v>41670</v>
      </c>
      <c r="F243" s="178">
        <v>1019125245</v>
      </c>
      <c r="G243" s="145" t="str">
        <f>IFERROR(VLOOKUP(F243,TERCEROS[],3,FALSE),"")</f>
        <v>ROSA MORALES</v>
      </c>
      <c r="H243" s="145" t="s">
        <v>1773</v>
      </c>
      <c r="I243" s="145">
        <v>261015</v>
      </c>
      <c r="J243" s="145" t="str">
        <f t="shared" si="31"/>
        <v xml:space="preserve">VACACIONES </v>
      </c>
      <c r="K243" s="149"/>
      <c r="L243" s="149">
        <f t="shared" si="32"/>
        <v>30079.599999999995</v>
      </c>
      <c r="M243" s="24"/>
    </row>
    <row r="244" spans="1:13" hidden="1" outlineLevel="1" x14ac:dyDescent="0.25">
      <c r="A244" s="145" t="s">
        <v>1553</v>
      </c>
      <c r="B244" s="146" t="s">
        <v>1721</v>
      </c>
      <c r="C244" s="147">
        <v>41670</v>
      </c>
      <c r="D244" s="145" t="s">
        <v>1753</v>
      </c>
      <c r="E244" s="147">
        <f t="shared" si="27"/>
        <v>41670</v>
      </c>
      <c r="F244" s="178">
        <v>89254178</v>
      </c>
      <c r="G244" s="145" t="str">
        <f>IFERROR(VLOOKUP(F244,TERCEROS[],3,FALSE),"")</f>
        <v>CARMENZA TORO</v>
      </c>
      <c r="H244" s="145" t="s">
        <v>1772</v>
      </c>
      <c r="I244" s="145">
        <v>520530</v>
      </c>
      <c r="J244" s="145" t="str">
        <f t="shared" si="31"/>
        <v xml:space="preserve">CESANTIAS </v>
      </c>
      <c r="K244" s="149">
        <v>229157.5</v>
      </c>
      <c r="L244" s="149"/>
      <c r="M244" s="24"/>
    </row>
    <row r="245" spans="1:13" hidden="1" outlineLevel="1" x14ac:dyDescent="0.25">
      <c r="A245" s="145" t="s">
        <v>1553</v>
      </c>
      <c r="B245" s="146" t="s">
        <v>1721</v>
      </c>
      <c r="C245" s="147">
        <v>41670</v>
      </c>
      <c r="D245" s="145" t="s">
        <v>1753</v>
      </c>
      <c r="E245" s="147">
        <f t="shared" si="27"/>
        <v>41670</v>
      </c>
      <c r="F245" s="178">
        <v>89254178</v>
      </c>
      <c r="G245" s="145" t="str">
        <f>IFERROR(VLOOKUP(F245,TERCEROS[],3,FALSE),"")</f>
        <v>CARMENZA TORO</v>
      </c>
      <c r="H245" s="145" t="s">
        <v>1772</v>
      </c>
      <c r="I245" s="145">
        <v>261005</v>
      </c>
      <c r="J245" s="145" t="str">
        <f t="shared" si="31"/>
        <v xml:space="preserve">CESANTIAS </v>
      </c>
      <c r="K245" s="149"/>
      <c r="L245" s="149">
        <f>+K244</f>
        <v>229157.5</v>
      </c>
      <c r="M245" s="24"/>
    </row>
    <row r="246" spans="1:13" hidden="1" outlineLevel="1" x14ac:dyDescent="0.25">
      <c r="A246" s="145" t="s">
        <v>1553</v>
      </c>
      <c r="B246" s="146" t="s">
        <v>1721</v>
      </c>
      <c r="C246" s="147">
        <v>41670</v>
      </c>
      <c r="D246" s="145" t="s">
        <v>1753</v>
      </c>
      <c r="E246" s="147">
        <f t="shared" si="27"/>
        <v>41670</v>
      </c>
      <c r="F246" s="178">
        <v>89254178</v>
      </c>
      <c r="G246" s="145" t="str">
        <f>IFERROR(VLOOKUP(F246,TERCEROS[],3,FALSE),"")</f>
        <v>CARMENZA TORO</v>
      </c>
      <c r="H246" s="145" t="s">
        <v>1772</v>
      </c>
      <c r="I246" s="145">
        <v>520536</v>
      </c>
      <c r="J246" s="145" t="str">
        <f t="shared" si="31"/>
        <v xml:space="preserve">PRIMA DE SERVICIOS </v>
      </c>
      <c r="K246" s="149">
        <v>229157.5</v>
      </c>
      <c r="L246" s="149"/>
      <c r="M246" s="24"/>
    </row>
    <row r="247" spans="1:13" hidden="1" outlineLevel="1" x14ac:dyDescent="0.25">
      <c r="A247" s="145" t="s">
        <v>1553</v>
      </c>
      <c r="B247" s="146" t="s">
        <v>1721</v>
      </c>
      <c r="C247" s="147">
        <v>41670</v>
      </c>
      <c r="D247" s="145" t="s">
        <v>1753</v>
      </c>
      <c r="E247" s="147">
        <f t="shared" si="27"/>
        <v>41670</v>
      </c>
      <c r="F247" s="178">
        <v>89254178</v>
      </c>
      <c r="G247" s="145" t="str">
        <f>IFERROR(VLOOKUP(F247,TERCEROS[],3,FALSE),"")</f>
        <v>CARMENZA TORO</v>
      </c>
      <c r="H247" s="145" t="s">
        <v>1772</v>
      </c>
      <c r="I247" s="145">
        <v>261020</v>
      </c>
      <c r="J247" s="145" t="str">
        <f t="shared" si="31"/>
        <v xml:space="preserve">PRIMA DE SERVICIOS </v>
      </c>
      <c r="K247" s="149"/>
      <c r="L247" s="149">
        <f t="shared" ref="L247:L251" si="33">+K246</f>
        <v>229157.5</v>
      </c>
      <c r="M247" s="24"/>
    </row>
    <row r="248" spans="1:13" hidden="1" outlineLevel="1" x14ac:dyDescent="0.25">
      <c r="A248" s="145" t="s">
        <v>1553</v>
      </c>
      <c r="B248" s="146" t="s">
        <v>1721</v>
      </c>
      <c r="C248" s="147">
        <v>41670</v>
      </c>
      <c r="D248" s="145" t="s">
        <v>1753</v>
      </c>
      <c r="E248" s="147">
        <f t="shared" si="27"/>
        <v>41670</v>
      </c>
      <c r="F248" s="178">
        <v>89254178</v>
      </c>
      <c r="G248" s="145" t="str">
        <f>IFERROR(VLOOKUP(F248,TERCEROS[],3,FALSE),"")</f>
        <v>CARMENZA TORO</v>
      </c>
      <c r="H248" s="145" t="s">
        <v>1772</v>
      </c>
      <c r="I248" s="145">
        <v>520533</v>
      </c>
      <c r="J248" s="145" t="str">
        <f t="shared" si="31"/>
        <v xml:space="preserve">INTERESES SOBRE CESANTIAS </v>
      </c>
      <c r="K248" s="149">
        <v>27498.899999999998</v>
      </c>
      <c r="L248" s="149"/>
      <c r="M248" s="24"/>
    </row>
    <row r="249" spans="1:13" hidden="1" outlineLevel="1" x14ac:dyDescent="0.25">
      <c r="A249" s="145" t="s">
        <v>1553</v>
      </c>
      <c r="B249" s="146" t="s">
        <v>1721</v>
      </c>
      <c r="C249" s="147">
        <v>41670</v>
      </c>
      <c r="D249" s="145" t="s">
        <v>1753</v>
      </c>
      <c r="E249" s="147">
        <f t="shared" si="27"/>
        <v>41670</v>
      </c>
      <c r="F249" s="178">
        <v>89254178</v>
      </c>
      <c r="G249" s="145" t="str">
        <f>IFERROR(VLOOKUP(F249,TERCEROS[],3,FALSE),"")</f>
        <v>CARMENZA TORO</v>
      </c>
      <c r="H249" s="145" t="s">
        <v>1772</v>
      </c>
      <c r="I249" s="145">
        <v>261010</v>
      </c>
      <c r="J249" s="145" t="str">
        <f t="shared" si="31"/>
        <v xml:space="preserve">INTERESES SOBRE CESANTIAS </v>
      </c>
      <c r="K249" s="149"/>
      <c r="L249" s="149">
        <f t="shared" si="33"/>
        <v>27498.899999999998</v>
      </c>
      <c r="M249" s="24"/>
    </row>
    <row r="250" spans="1:13" hidden="1" outlineLevel="1" x14ac:dyDescent="0.25">
      <c r="A250" s="145" t="s">
        <v>1553</v>
      </c>
      <c r="B250" s="146" t="s">
        <v>1721</v>
      </c>
      <c r="C250" s="147">
        <v>41670</v>
      </c>
      <c r="D250" s="145" t="s">
        <v>1753</v>
      </c>
      <c r="E250" s="147">
        <f t="shared" si="27"/>
        <v>41670</v>
      </c>
      <c r="F250" s="178">
        <v>89254178</v>
      </c>
      <c r="G250" s="145" t="str">
        <f>IFERROR(VLOOKUP(F250,TERCEROS[],3,FALSE),"")</f>
        <v>CARMENZA TORO</v>
      </c>
      <c r="H250" s="145" t="s">
        <v>1772</v>
      </c>
      <c r="I250" s="145">
        <v>520539</v>
      </c>
      <c r="J250" s="145" t="str">
        <f t="shared" si="31"/>
        <v xml:space="preserve">VACACIONES </v>
      </c>
      <c r="K250" s="149">
        <v>114675</v>
      </c>
      <c r="L250" s="149"/>
      <c r="M250" s="24"/>
    </row>
    <row r="251" spans="1:13" hidden="1" outlineLevel="1" x14ac:dyDescent="0.25">
      <c r="A251" s="145" t="s">
        <v>1553</v>
      </c>
      <c r="B251" s="146" t="s">
        <v>1721</v>
      </c>
      <c r="C251" s="147">
        <v>41670</v>
      </c>
      <c r="D251" s="145" t="s">
        <v>1753</v>
      </c>
      <c r="E251" s="147">
        <f t="shared" si="27"/>
        <v>41670</v>
      </c>
      <c r="F251" s="178">
        <v>89254178</v>
      </c>
      <c r="G251" s="145" t="str">
        <f>IFERROR(VLOOKUP(F251,TERCEROS[],3,FALSE),"")</f>
        <v>CARMENZA TORO</v>
      </c>
      <c r="H251" s="145" t="s">
        <v>1772</v>
      </c>
      <c r="I251" s="145">
        <v>261015</v>
      </c>
      <c r="J251" s="145" t="str">
        <f t="shared" si="31"/>
        <v xml:space="preserve">VACACIONES </v>
      </c>
      <c r="K251" s="149"/>
      <c r="L251" s="149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4">
        <v>41671</v>
      </c>
      <c r="D252" s="22" t="s">
        <v>1753</v>
      </c>
      <c r="E252" s="144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4">
        <v>41671</v>
      </c>
      <c r="D253" s="22" t="s">
        <v>1753</v>
      </c>
      <c r="E253" s="144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4">
        <v>41671</v>
      </c>
      <c r="D254" s="22" t="s">
        <v>1753</v>
      </c>
      <c r="E254" s="144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4">
        <v>41671</v>
      </c>
      <c r="D255" s="22" t="s">
        <v>1753</v>
      </c>
      <c r="E255" s="144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8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4">
        <v>41671</v>
      </c>
      <c r="D256" s="22" t="s">
        <v>1781</v>
      </c>
      <c r="E256" s="144">
        <v>41671</v>
      </c>
      <c r="F256" s="180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4">
        <v>41671</v>
      </c>
      <c r="D257" s="22" t="s">
        <v>1781</v>
      </c>
      <c r="E257" s="144">
        <v>41671</v>
      </c>
      <c r="F257" s="180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4">
        <v>41671</v>
      </c>
      <c r="D258" s="22" t="s">
        <v>1781</v>
      </c>
      <c r="E258" s="144">
        <v>41671</v>
      </c>
      <c r="F258" s="180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4">
        <v>41671</v>
      </c>
      <c r="D259" s="22" t="s">
        <v>1781</v>
      </c>
      <c r="E259" s="144">
        <v>41671</v>
      </c>
      <c r="F259" s="180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4">
        <v>41671</v>
      </c>
      <c r="D260" s="22" t="s">
        <v>1781</v>
      </c>
      <c r="E260" s="144">
        <v>41671</v>
      </c>
      <c r="F260" s="180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5" t="s">
        <v>1573</v>
      </c>
      <c r="B261" s="146" t="s">
        <v>1784</v>
      </c>
      <c r="C261" s="147">
        <v>41671</v>
      </c>
      <c r="D261" s="145" t="s">
        <v>1781</v>
      </c>
      <c r="E261" s="147">
        <v>41671</v>
      </c>
      <c r="F261" s="178">
        <v>12245235</v>
      </c>
      <c r="G261" s="145" t="str">
        <f>IFERROR(VLOOKUP(F261,TERCEROS[],3,FALSE),"")</f>
        <v>FREDDY MACIAS</v>
      </c>
      <c r="H261" s="145" t="s">
        <v>1785</v>
      </c>
      <c r="I261" s="145">
        <v>233530</v>
      </c>
      <c r="J261" s="145" t="str">
        <f t="shared" si="34"/>
        <v xml:space="preserve">SERVICIOS TECNICOS </v>
      </c>
      <c r="K261" s="149">
        <f>+L260</f>
        <v>595860</v>
      </c>
      <c r="L261" s="149"/>
      <c r="M261" s="149"/>
    </row>
    <row r="262" spans="1:13" hidden="1" outlineLevel="1" x14ac:dyDescent="0.25">
      <c r="A262" s="145" t="s">
        <v>1573</v>
      </c>
      <c r="B262" s="146" t="s">
        <v>1784</v>
      </c>
      <c r="C262" s="147">
        <v>41671</v>
      </c>
      <c r="D262" s="145" t="s">
        <v>1781</v>
      </c>
      <c r="E262" s="147">
        <v>41671</v>
      </c>
      <c r="F262" s="178">
        <v>12245235</v>
      </c>
      <c r="G262" s="145" t="str">
        <f>IFERROR(VLOOKUP(F262,TERCEROS[],3,FALSE),"")</f>
        <v>FREDDY MACIAS</v>
      </c>
      <c r="H262" s="145" t="s">
        <v>1785</v>
      </c>
      <c r="I262" s="145">
        <v>1110050501</v>
      </c>
      <c r="J262" s="145" t="str">
        <f t="shared" si="34"/>
        <v>CUENTA CORRIENTE NO. 074-604125-08</v>
      </c>
      <c r="K262" s="149"/>
      <c r="L262" s="149">
        <f>+K261</f>
        <v>595860</v>
      </c>
      <c r="M262" s="149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4">
        <v>41672</v>
      </c>
      <c r="D263" s="22" t="s">
        <v>1788</v>
      </c>
      <c r="E263" s="144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4">
        <v>41672</v>
      </c>
      <c r="D264" s="22" t="s">
        <v>1788</v>
      </c>
      <c r="E264" s="144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4">
        <v>41672</v>
      </c>
      <c r="D265" s="22" t="s">
        <v>1788</v>
      </c>
      <c r="E265" s="144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4">
        <v>41672</v>
      </c>
      <c r="D266" s="22" t="s">
        <v>1788</v>
      </c>
      <c r="E266" s="144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4">
        <v>41672</v>
      </c>
      <c r="D267" s="22" t="s">
        <v>1788</v>
      </c>
      <c r="E267" s="144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4">
        <v>41672</v>
      </c>
      <c r="D268" s="22" t="s">
        <v>1788</v>
      </c>
      <c r="E268" s="144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4">
        <v>41672</v>
      </c>
      <c r="D269" s="22" t="s">
        <v>1788</v>
      </c>
      <c r="E269" s="144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7" customFormat="1" hidden="1" outlineLevel="1" x14ac:dyDescent="0.25">
      <c r="A270" s="145" t="s">
        <v>1573</v>
      </c>
      <c r="B270" s="146" t="s">
        <v>1792</v>
      </c>
      <c r="C270" s="147">
        <v>41673</v>
      </c>
      <c r="D270" s="145">
        <v>77512</v>
      </c>
      <c r="E270" s="147">
        <v>41648</v>
      </c>
      <c r="F270" s="148">
        <v>860563589</v>
      </c>
      <c r="G270" s="145" t="str">
        <f>IFERROR(VLOOKUP(F270,TERCEROS[],3,FALSE),"")</f>
        <v>DIGITAL KOMPRE S.A.</v>
      </c>
      <c r="H270" s="145" t="s">
        <v>1793</v>
      </c>
      <c r="I270" s="145">
        <v>233595</v>
      </c>
      <c r="J270" s="145" t="str">
        <f t="shared" si="34"/>
        <v xml:space="preserve">OTROS </v>
      </c>
      <c r="K270" s="149">
        <v>1705200</v>
      </c>
      <c r="L270" s="149"/>
      <c r="M270" s="149"/>
    </row>
    <row r="271" spans="1:13" s="157" customFormat="1" hidden="1" outlineLevel="1" x14ac:dyDescent="0.25">
      <c r="A271" s="145" t="s">
        <v>1573</v>
      </c>
      <c r="B271" s="146" t="s">
        <v>1792</v>
      </c>
      <c r="C271" s="147">
        <v>41673</v>
      </c>
      <c r="D271" s="145">
        <v>77512</v>
      </c>
      <c r="E271" s="147">
        <v>41648</v>
      </c>
      <c r="F271" s="148">
        <v>860563589</v>
      </c>
      <c r="G271" s="145" t="str">
        <f>IFERROR(VLOOKUP(F271,TERCEROS[],3,FALSE),"")</f>
        <v>DIGITAL KOMPRE S.A.</v>
      </c>
      <c r="H271" s="145" t="s">
        <v>1793</v>
      </c>
      <c r="I271" s="145">
        <v>1110050501</v>
      </c>
      <c r="J271" s="145" t="str">
        <f t="shared" si="34"/>
        <v>CUENTA CORRIENTE NO. 074-604125-08</v>
      </c>
      <c r="K271" s="149"/>
      <c r="L271" s="149">
        <f>+K270</f>
        <v>1705200</v>
      </c>
      <c r="M271" s="149" t="s">
        <v>1794</v>
      </c>
    </row>
    <row r="272" spans="1:13" s="157" customFormat="1" hidden="1" outlineLevel="1" x14ac:dyDescent="0.25">
      <c r="A272" s="145" t="s">
        <v>1573</v>
      </c>
      <c r="B272" s="146" t="s">
        <v>1795</v>
      </c>
      <c r="C272" s="147">
        <v>41673</v>
      </c>
      <c r="D272" s="145" t="s">
        <v>1664</v>
      </c>
      <c r="E272" s="147">
        <v>41656</v>
      </c>
      <c r="F272" s="148">
        <v>800652351</v>
      </c>
      <c r="G272" s="145" t="str">
        <f>IFERROR(VLOOKUP(F272,TERCEROS[],3,FALSE),"")</f>
        <v>SURTIDOR KP LTDA</v>
      </c>
      <c r="H272" s="145" t="s">
        <v>1667</v>
      </c>
      <c r="I272" s="145">
        <v>220501</v>
      </c>
      <c r="J272" s="145" t="str">
        <f t="shared" si="34"/>
        <v>PROVEEDORES NACIONALES</v>
      </c>
      <c r="K272" s="149">
        <v>800400</v>
      </c>
      <c r="L272" s="149"/>
      <c r="M272" s="149"/>
    </row>
    <row r="273" spans="1:13" s="157" customFormat="1" hidden="1" outlineLevel="1" x14ac:dyDescent="0.25">
      <c r="A273" s="145" t="s">
        <v>1573</v>
      </c>
      <c r="B273" s="146" t="s">
        <v>1795</v>
      </c>
      <c r="C273" s="147">
        <v>41673</v>
      </c>
      <c r="D273" s="145" t="s">
        <v>1664</v>
      </c>
      <c r="E273" s="147">
        <v>41656</v>
      </c>
      <c r="F273" s="148">
        <v>800652351</v>
      </c>
      <c r="G273" s="145" t="str">
        <f>IFERROR(VLOOKUP(F273,TERCEROS[],3,FALSE),"")</f>
        <v>SURTIDOR KP LTDA</v>
      </c>
      <c r="H273" s="145" t="s">
        <v>1667</v>
      </c>
      <c r="I273" s="145">
        <v>421040</v>
      </c>
      <c r="J273" s="145" t="str">
        <f t="shared" si="34"/>
        <v xml:space="preserve">DESCUENTOS COMERCIALES CONDICIONADOS </v>
      </c>
      <c r="K273" s="149"/>
      <c r="L273" s="149">
        <f>+K272*0.08</f>
        <v>64032</v>
      </c>
      <c r="M273" s="149"/>
    </row>
    <row r="274" spans="1:13" s="157" customFormat="1" hidden="1" outlineLevel="1" x14ac:dyDescent="0.25">
      <c r="A274" s="145" t="s">
        <v>1573</v>
      </c>
      <c r="B274" s="146" t="s">
        <v>1795</v>
      </c>
      <c r="C274" s="147">
        <v>41673</v>
      </c>
      <c r="D274" s="145" t="s">
        <v>1664</v>
      </c>
      <c r="E274" s="147">
        <v>41656</v>
      </c>
      <c r="F274" s="148">
        <v>800652351</v>
      </c>
      <c r="G274" s="145" t="str">
        <f>IFERROR(VLOOKUP(F274,TERCEROS[],3,FALSE),"")</f>
        <v>SURTIDOR KP LTDA</v>
      </c>
      <c r="H274" s="145" t="s">
        <v>1667</v>
      </c>
      <c r="I274" s="145">
        <v>1110050501</v>
      </c>
      <c r="J274" s="145" t="str">
        <f t="shared" si="34"/>
        <v>CUENTA CORRIENTE NO. 074-604125-08</v>
      </c>
      <c r="K274" s="149"/>
      <c r="L274" s="149">
        <f>+K272-L273</f>
        <v>736368</v>
      </c>
      <c r="M274" s="149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4">
        <v>41681</v>
      </c>
      <c r="D275" s="22" t="s">
        <v>1803</v>
      </c>
      <c r="E275" s="144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4">
        <v>41681</v>
      </c>
      <c r="D276" s="22" t="s">
        <v>1803</v>
      </c>
      <c r="E276" s="144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4">
        <v>41681</v>
      </c>
      <c r="D277" s="22" t="s">
        <v>1803</v>
      </c>
      <c r="E277" s="144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4">
        <v>41681</v>
      </c>
      <c r="D278" s="22" t="s">
        <v>1803</v>
      </c>
      <c r="E278" s="144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4">
        <v>41681</v>
      </c>
      <c r="D279" s="22" t="s">
        <v>1803</v>
      </c>
      <c r="E279" s="144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4">
        <v>41681</v>
      </c>
      <c r="D280" s="22" t="s">
        <v>1803</v>
      </c>
      <c r="E280" s="144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4">
        <v>41681</v>
      </c>
      <c r="D281" s="22" t="s">
        <v>1803</v>
      </c>
      <c r="E281" s="144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4">
        <v>41681</v>
      </c>
      <c r="D282" s="22" t="s">
        <v>1803</v>
      </c>
      <c r="E282" s="144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4">
        <v>41681</v>
      </c>
      <c r="D283" s="22" t="s">
        <v>1803</v>
      </c>
      <c r="E283" s="144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5" t="s">
        <v>1627</v>
      </c>
      <c r="B284" s="146" t="s">
        <v>1600</v>
      </c>
      <c r="C284" s="147">
        <v>41683</v>
      </c>
      <c r="D284" s="145"/>
      <c r="E284" s="145"/>
      <c r="F284" s="178">
        <v>800212212</v>
      </c>
      <c r="G284" s="145" t="str">
        <f>IFERROR(VLOOKUP(F284,TERCEROS[],3,FALSE),"")</f>
        <v>LOS PANTALONEROS LTDA</v>
      </c>
      <c r="H284" s="145" t="s">
        <v>1800</v>
      </c>
      <c r="I284" s="145">
        <v>41352402</v>
      </c>
      <c r="J284" s="145" t="str">
        <f t="shared" si="34"/>
        <v>VENTA DE BLUSAS</v>
      </c>
      <c r="K284" s="149"/>
      <c r="L284" s="149">
        <f>130*12100</f>
        <v>1573000</v>
      </c>
      <c r="M284" s="149"/>
    </row>
    <row r="285" spans="1:13" hidden="1" outlineLevel="1" x14ac:dyDescent="0.25">
      <c r="A285" s="145" t="s">
        <v>1627</v>
      </c>
      <c r="B285" s="146" t="s">
        <v>1600</v>
      </c>
      <c r="C285" s="147">
        <v>41683</v>
      </c>
      <c r="D285" s="145"/>
      <c r="E285" s="145"/>
      <c r="F285" s="178">
        <v>800212212</v>
      </c>
      <c r="G285" s="145" t="str">
        <f>IFERROR(VLOOKUP(F285,TERCEROS[],3,FALSE),"")</f>
        <v>LOS PANTALONEROS LTDA</v>
      </c>
      <c r="H285" s="145" t="s">
        <v>1800</v>
      </c>
      <c r="I285" s="145">
        <v>240801</v>
      </c>
      <c r="J285" s="145" t="str">
        <f t="shared" si="34"/>
        <v>IVA GENERADO</v>
      </c>
      <c r="K285" s="149"/>
      <c r="L285" s="149">
        <f>+L284*0.16</f>
        <v>251680</v>
      </c>
      <c r="M285" s="149"/>
    </row>
    <row r="286" spans="1:13" hidden="1" outlineLevel="1" x14ac:dyDescent="0.25">
      <c r="A286" s="145" t="s">
        <v>1627</v>
      </c>
      <c r="B286" s="146" t="s">
        <v>1600</v>
      </c>
      <c r="C286" s="147">
        <v>41683</v>
      </c>
      <c r="D286" s="145"/>
      <c r="E286" s="145"/>
      <c r="F286" s="178">
        <v>800212212</v>
      </c>
      <c r="G286" s="145" t="str">
        <f>IFERROR(VLOOKUP(F286,TERCEROS[],3,FALSE),"")</f>
        <v>LOS PANTALONEROS LTDA</v>
      </c>
      <c r="H286" s="145" t="s">
        <v>1800</v>
      </c>
      <c r="I286" s="145">
        <v>23657501</v>
      </c>
      <c r="J286" s="145" t="str">
        <f t="shared" si="34"/>
        <v>AUTORETENC POR CREE 0,4%</v>
      </c>
      <c r="K286" s="149"/>
      <c r="L286" s="149">
        <f>+L284*0.4/100</f>
        <v>6292</v>
      </c>
      <c r="M286" s="149"/>
    </row>
    <row r="287" spans="1:13" hidden="1" outlineLevel="1" x14ac:dyDescent="0.25">
      <c r="A287" s="145" t="s">
        <v>1627</v>
      </c>
      <c r="B287" s="146" t="s">
        <v>1600</v>
      </c>
      <c r="C287" s="147">
        <v>41683</v>
      </c>
      <c r="D287" s="145"/>
      <c r="E287" s="145"/>
      <c r="F287" s="178">
        <v>800212212</v>
      </c>
      <c r="G287" s="145" t="str">
        <f>IFERROR(VLOOKUP(F287,TERCEROS[],3,FALSE),"")</f>
        <v>LOS PANTALONEROS LTDA</v>
      </c>
      <c r="H287" s="145" t="s">
        <v>1800</v>
      </c>
      <c r="I287" s="145">
        <v>13559501</v>
      </c>
      <c r="J287" s="145" t="str">
        <f t="shared" si="34"/>
        <v>ANT AUTORETENC POR CREE 0,4%</v>
      </c>
      <c r="K287" s="149">
        <f>+L286</f>
        <v>6292</v>
      </c>
      <c r="L287" s="149"/>
      <c r="M287" s="149"/>
    </row>
    <row r="288" spans="1:13" hidden="1" outlineLevel="1" x14ac:dyDescent="0.25">
      <c r="A288" s="145" t="s">
        <v>1627</v>
      </c>
      <c r="B288" s="146" t="s">
        <v>1600</v>
      </c>
      <c r="C288" s="147">
        <v>41683</v>
      </c>
      <c r="D288" s="145"/>
      <c r="E288" s="145"/>
      <c r="F288" s="178">
        <v>800212212</v>
      </c>
      <c r="G288" s="145" t="str">
        <f>IFERROR(VLOOKUP(F288,TERCEROS[],3,FALSE),"")</f>
        <v>LOS PANTALONEROS LTDA</v>
      </c>
      <c r="H288" s="145" t="s">
        <v>1800</v>
      </c>
      <c r="I288" s="145">
        <v>135515</v>
      </c>
      <c r="J288" s="145" t="str">
        <f t="shared" si="34"/>
        <v xml:space="preserve">RETENCION EN LA FUENTE </v>
      </c>
      <c r="K288" s="149">
        <f>+L284*2.5/100</f>
        <v>39325</v>
      </c>
      <c r="L288" s="149"/>
      <c r="M288" s="149"/>
    </row>
    <row r="289" spans="1:13" hidden="1" outlineLevel="1" x14ac:dyDescent="0.25">
      <c r="A289" s="145" t="s">
        <v>1627</v>
      </c>
      <c r="B289" s="146" t="s">
        <v>1600</v>
      </c>
      <c r="C289" s="147">
        <v>41683</v>
      </c>
      <c r="D289" s="145"/>
      <c r="E289" s="145"/>
      <c r="F289" s="178">
        <v>800212212</v>
      </c>
      <c r="G289" s="145" t="str">
        <f>IFERROR(VLOOKUP(F289,TERCEROS[],3,FALSE),"")</f>
        <v>LOS PANTALONEROS LTDA</v>
      </c>
      <c r="H289" s="145" t="s">
        <v>1800</v>
      </c>
      <c r="I289" s="145">
        <v>135517</v>
      </c>
      <c r="J289" s="145" t="str">
        <f t="shared" si="34"/>
        <v>IMPUESTO A LAS VENTAS RETENIDO</v>
      </c>
      <c r="K289" s="149">
        <f>+L285*0.15</f>
        <v>37752</v>
      </c>
      <c r="L289" s="149"/>
      <c r="M289" s="149"/>
    </row>
    <row r="290" spans="1:13" hidden="1" outlineLevel="1" x14ac:dyDescent="0.25">
      <c r="A290" s="145" t="s">
        <v>1627</v>
      </c>
      <c r="B290" s="146" t="s">
        <v>1600</v>
      </c>
      <c r="C290" s="147">
        <v>41683</v>
      </c>
      <c r="D290" s="145"/>
      <c r="E290" s="145"/>
      <c r="F290" s="178">
        <v>800212212</v>
      </c>
      <c r="G290" s="145" t="str">
        <f>IFERROR(VLOOKUP(F290,TERCEROS[],3,FALSE),"")</f>
        <v>LOS PANTALONEROS LTDA</v>
      </c>
      <c r="H290" s="145" t="s">
        <v>1800</v>
      </c>
      <c r="I290" s="145">
        <v>135518</v>
      </c>
      <c r="J290" s="145" t="str">
        <f t="shared" si="34"/>
        <v>IMPUESTO DE INDUSTRIA Y COMERCIO RETENIDO</v>
      </c>
      <c r="K290" s="149">
        <f>+L284*11.04/1000</f>
        <v>17365.919999999998</v>
      </c>
      <c r="L290" s="149"/>
      <c r="M290" s="149"/>
    </row>
    <row r="291" spans="1:13" hidden="1" outlineLevel="1" x14ac:dyDescent="0.25">
      <c r="A291" s="145" t="s">
        <v>1627</v>
      </c>
      <c r="B291" s="146" t="s">
        <v>1600</v>
      </c>
      <c r="C291" s="147">
        <v>41683</v>
      </c>
      <c r="D291" s="145"/>
      <c r="E291" s="145"/>
      <c r="F291" s="178">
        <v>800212212</v>
      </c>
      <c r="G291" s="145" t="str">
        <f>IFERROR(VLOOKUP(F291,TERCEROS[],3,FALSE),"")</f>
        <v>LOS PANTALONEROS LTDA</v>
      </c>
      <c r="H291" s="145" t="s">
        <v>1800</v>
      </c>
      <c r="I291" s="145">
        <v>130505</v>
      </c>
      <c r="J291" s="145" t="str">
        <f t="shared" si="34"/>
        <v xml:space="preserve">NACIONALES </v>
      </c>
      <c r="K291" s="149">
        <f>+L284+L285+L286-K287-K288-K289-K290</f>
        <v>1730237.08</v>
      </c>
      <c r="L291" s="149"/>
      <c r="M291" s="149"/>
    </row>
    <row r="292" spans="1:13" hidden="1" outlineLevel="1" x14ac:dyDescent="0.25">
      <c r="A292" s="145" t="s">
        <v>1627</v>
      </c>
      <c r="B292" s="146" t="s">
        <v>1600</v>
      </c>
      <c r="C292" s="147">
        <v>41683</v>
      </c>
      <c r="D292" s="145"/>
      <c r="E292" s="145"/>
      <c r="F292" s="178">
        <v>800212212</v>
      </c>
      <c r="G292" s="145" t="str">
        <f>IFERROR(VLOOKUP(F292,TERCEROS[],3,FALSE),"")</f>
        <v>LOS PANTALONEROS LTDA</v>
      </c>
      <c r="H292" s="145" t="s">
        <v>1800</v>
      </c>
      <c r="I292" s="145">
        <v>14352402</v>
      </c>
      <c r="J292" s="145" t="str">
        <f t="shared" si="34"/>
        <v>DE BLUSAS</v>
      </c>
      <c r="K292" s="149"/>
      <c r="L292" s="149">
        <v>728000</v>
      </c>
      <c r="M292" s="149"/>
    </row>
    <row r="293" spans="1:13" hidden="1" outlineLevel="1" x14ac:dyDescent="0.25">
      <c r="A293" s="145" t="s">
        <v>1627</v>
      </c>
      <c r="B293" s="146" t="s">
        <v>1600</v>
      </c>
      <c r="C293" s="147">
        <v>41683</v>
      </c>
      <c r="D293" s="145"/>
      <c r="E293" s="145"/>
      <c r="F293" s="178">
        <v>800212212</v>
      </c>
      <c r="G293" s="145" t="str">
        <f>IFERROR(VLOOKUP(F293,TERCEROS[],3,FALSE),"")</f>
        <v>LOS PANTALONEROS LTDA</v>
      </c>
      <c r="H293" s="145" t="s">
        <v>1800</v>
      </c>
      <c r="I293" s="145">
        <v>61352402</v>
      </c>
      <c r="J293" s="145" t="str">
        <f t="shared" si="34"/>
        <v>VENTA DE BLUSAS</v>
      </c>
      <c r="K293" s="149">
        <f>+L292</f>
        <v>728000</v>
      </c>
      <c r="L293" s="149"/>
      <c r="M293" s="149"/>
    </row>
    <row r="294" spans="1:13" hidden="1" outlineLevel="1" x14ac:dyDescent="0.25">
      <c r="A294" s="22" t="s">
        <v>1573</v>
      </c>
      <c r="B294" s="29" t="s">
        <v>1805</v>
      </c>
      <c r="C294" s="144">
        <v>41693</v>
      </c>
      <c r="D294" s="22" t="s">
        <v>1690</v>
      </c>
      <c r="E294" s="144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4">
        <v>41693</v>
      </c>
      <c r="D295" s="22" t="s">
        <v>1690</v>
      </c>
      <c r="E295" s="144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4">
        <v>41693</v>
      </c>
      <c r="D296" s="22" t="s">
        <v>1690</v>
      </c>
      <c r="E296" s="144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4">
        <v>41693</v>
      </c>
      <c r="D297" s="22" t="s">
        <v>1690</v>
      </c>
      <c r="E297" s="144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4">
        <v>41693</v>
      </c>
      <c r="D298" s="22" t="s">
        <v>1690</v>
      </c>
      <c r="E298" s="144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4">
        <v>41693</v>
      </c>
      <c r="D299" s="22" t="s">
        <v>1690</v>
      </c>
      <c r="E299" s="144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hidden="1" outlineLevel="1" collapsed="1" x14ac:dyDescent="0.25">
      <c r="A300" s="22" t="s">
        <v>1553</v>
      </c>
      <c r="B300" s="29" t="s">
        <v>1775</v>
      </c>
      <c r="C300" s="144">
        <v>41709</v>
      </c>
      <c r="D300" s="22" t="s">
        <v>1810</v>
      </c>
      <c r="E300" s="144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hidden="1" outlineLevel="1" x14ac:dyDescent="0.25">
      <c r="A301" s="22" t="s">
        <v>1553</v>
      </c>
      <c r="B301" s="29" t="s">
        <v>1775</v>
      </c>
      <c r="C301" s="144">
        <v>41709</v>
      </c>
      <c r="D301" s="22" t="s">
        <v>1810</v>
      </c>
      <c r="E301" s="144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hidden="1" outlineLevel="1" x14ac:dyDescent="0.25">
      <c r="A302" s="22" t="s">
        <v>1553</v>
      </c>
      <c r="B302" s="29" t="s">
        <v>1775</v>
      </c>
      <c r="C302" s="144">
        <v>41709</v>
      </c>
      <c r="D302" s="22" t="s">
        <v>1810</v>
      </c>
      <c r="E302" s="144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hidden="1" outlineLevel="1" x14ac:dyDescent="0.25">
      <c r="A303" s="22" t="s">
        <v>1553</v>
      </c>
      <c r="B303" s="29" t="s">
        <v>1775</v>
      </c>
      <c r="C303" s="144">
        <v>41709</v>
      </c>
      <c r="D303" s="22" t="s">
        <v>1810</v>
      </c>
      <c r="E303" s="144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hidden="1" outlineLevel="1" x14ac:dyDescent="0.25">
      <c r="A304" s="22" t="s">
        <v>1553</v>
      </c>
      <c r="B304" s="29" t="s">
        <v>1775</v>
      </c>
      <c r="C304" s="144">
        <v>41709</v>
      </c>
      <c r="D304" s="22" t="s">
        <v>1810</v>
      </c>
      <c r="E304" s="144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hidden="1" outlineLevel="1" x14ac:dyDescent="0.25">
      <c r="A305" s="22" t="s">
        <v>1553</v>
      </c>
      <c r="B305" s="29" t="s">
        <v>1775</v>
      </c>
      <c r="C305" s="144">
        <v>41709</v>
      </c>
      <c r="D305" s="22" t="s">
        <v>1810</v>
      </c>
      <c r="E305" s="144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hidden="1" outlineLevel="1" collapsed="1" x14ac:dyDescent="0.25">
      <c r="A306" s="22" t="s">
        <v>1573</v>
      </c>
      <c r="B306" s="29" t="s">
        <v>1814</v>
      </c>
      <c r="C306" s="144">
        <v>41715</v>
      </c>
      <c r="D306" s="22" t="s">
        <v>1815</v>
      </c>
      <c r="E306" s="144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hidden="1" outlineLevel="1" x14ac:dyDescent="0.25">
      <c r="A307" s="22" t="s">
        <v>1573</v>
      </c>
      <c r="B307" s="29" t="s">
        <v>1814</v>
      </c>
      <c r="C307" s="144">
        <v>41715</v>
      </c>
      <c r="D307" s="22" t="s">
        <v>1815</v>
      </c>
      <c r="E307" s="144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hidden="1" outlineLevel="1" x14ac:dyDescent="0.25">
      <c r="A308" s="22" t="s">
        <v>1573</v>
      </c>
      <c r="B308" s="29" t="s">
        <v>1814</v>
      </c>
      <c r="C308" s="144">
        <v>41715</v>
      </c>
      <c r="D308" s="22" t="s">
        <v>1815</v>
      </c>
      <c r="E308" s="144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hidden="1" outlineLevel="1" x14ac:dyDescent="0.25">
      <c r="A309" s="22" t="s">
        <v>1573</v>
      </c>
      <c r="B309" s="29" t="s">
        <v>1814</v>
      </c>
      <c r="C309" s="144">
        <v>41715</v>
      </c>
      <c r="D309" s="22" t="s">
        <v>1815</v>
      </c>
      <c r="E309" s="144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hidden="1" outlineLevel="1" x14ac:dyDescent="0.25">
      <c r="A310" s="22" t="s">
        <v>1573</v>
      </c>
      <c r="B310" s="29" t="s">
        <v>1814</v>
      </c>
      <c r="C310" s="144">
        <v>41715</v>
      </c>
      <c r="D310" s="22" t="s">
        <v>1815</v>
      </c>
      <c r="E310" s="144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hidden="1" outlineLevel="1" x14ac:dyDescent="0.25">
      <c r="A311" s="22" t="s">
        <v>1573</v>
      </c>
      <c r="B311" s="29" t="s">
        <v>1822</v>
      </c>
      <c r="C311" s="144">
        <v>41715</v>
      </c>
      <c r="D311" s="22" t="s">
        <v>1823</v>
      </c>
      <c r="E311" s="144">
        <f>+C311</f>
        <v>41715</v>
      </c>
      <c r="F311" s="27">
        <v>888888888</v>
      </c>
      <c r="G311" s="22" t="str">
        <f>IFERROR(VLOOKUP(F311,TERCEROS[],3,FALSE),"")</f>
        <v>SECRETARIA DE HACIENDA DISTRITAL</v>
      </c>
      <c r="H311" s="22" t="s">
        <v>1824</v>
      </c>
      <c r="I311" s="22">
        <v>236801</v>
      </c>
      <c r="J311" s="22" t="str">
        <f t="shared" si="34"/>
        <v>IMPUESTO DE INDUSTRIA Y COMERCIO RETENIDO</v>
      </c>
      <c r="K311" s="24">
        <v>24201.059999999998</v>
      </c>
      <c r="L311" s="24"/>
      <c r="M311" s="24"/>
    </row>
    <row r="312" spans="1:13" hidden="1" outlineLevel="1" x14ac:dyDescent="0.25">
      <c r="A312" s="22" t="s">
        <v>1573</v>
      </c>
      <c r="B312" s="29" t="s">
        <v>1822</v>
      </c>
      <c r="C312" s="144">
        <v>41715</v>
      </c>
      <c r="D312" s="22" t="s">
        <v>1823</v>
      </c>
      <c r="E312" s="144">
        <f t="shared" ref="E312:E313" si="40">+C312</f>
        <v>41715</v>
      </c>
      <c r="F312" s="27">
        <v>888888888</v>
      </c>
      <c r="G312" s="22" t="str">
        <f>IFERROR(VLOOKUP(F312,TERCEROS[],3,FALSE),"")</f>
        <v>SECRETARIA DE HACIENDA DISTRITAL</v>
      </c>
      <c r="H312" s="22" t="s">
        <v>1824</v>
      </c>
      <c r="I312" s="22">
        <v>1110050501</v>
      </c>
      <c r="J312" s="22" t="str">
        <f t="shared" si="34"/>
        <v>CUENTA CORRIENTE NO. 074-604125-08</v>
      </c>
      <c r="K312" s="24"/>
      <c r="L312" s="24">
        <v>24000</v>
      </c>
      <c r="M312" s="24"/>
    </row>
    <row r="313" spans="1:13" hidden="1" outlineLevel="1" x14ac:dyDescent="0.25">
      <c r="A313" s="22" t="s">
        <v>1573</v>
      </c>
      <c r="B313" s="29" t="s">
        <v>1822</v>
      </c>
      <c r="C313" s="144">
        <v>41715</v>
      </c>
      <c r="D313" s="22" t="s">
        <v>1823</v>
      </c>
      <c r="E313" s="144">
        <f t="shared" si="40"/>
        <v>41715</v>
      </c>
      <c r="F313" s="27">
        <v>888888888</v>
      </c>
      <c r="G313" s="22" t="str">
        <f>IFERROR(VLOOKUP(F313,TERCEROS[],3,FALSE),"")</f>
        <v>SECRETARIA DE HACIENDA DISTRITAL</v>
      </c>
      <c r="H313" s="22" t="s">
        <v>1824</v>
      </c>
      <c r="I313" s="22">
        <v>429581</v>
      </c>
      <c r="J313" s="22" t="str">
        <f t="shared" si="34"/>
        <v xml:space="preserve">AJUSTE AL PESO </v>
      </c>
      <c r="K313" s="24"/>
      <c r="L313" s="24">
        <v>201</v>
      </c>
      <c r="M313" s="24"/>
    </row>
    <row r="314" spans="1:13" hidden="1" outlineLevel="1" x14ac:dyDescent="0.25">
      <c r="A314" s="22" t="s">
        <v>1573</v>
      </c>
      <c r="B314" s="29" t="s">
        <v>1825</v>
      </c>
      <c r="C314" s="144">
        <v>41771</v>
      </c>
      <c r="D314" s="22" t="s">
        <v>1826</v>
      </c>
      <c r="E314" s="144">
        <f>+C314</f>
        <v>41771</v>
      </c>
      <c r="F314" s="27">
        <v>999999999</v>
      </c>
      <c r="G314" s="22" t="str">
        <f>IFERROR(VLOOKUP(F314,TERCEROS[],3,FALSE),"")</f>
        <v>DIRECCION DE IMPUESTOS Y ADUANAS NACIONALES DIAN</v>
      </c>
      <c r="H314" s="22" t="s">
        <v>1827</v>
      </c>
      <c r="I314" s="22">
        <v>23657501</v>
      </c>
      <c r="J314" s="22" t="str">
        <f t="shared" si="34"/>
        <v>AUTORETENC POR CREE 0,4%</v>
      </c>
      <c r="K314" s="24">
        <v>20548</v>
      </c>
      <c r="L314" s="24"/>
      <c r="M314" s="24"/>
    </row>
    <row r="315" spans="1:13" hidden="1" outlineLevel="1" x14ac:dyDescent="0.25">
      <c r="A315" s="22" t="s">
        <v>1573</v>
      </c>
      <c r="B315" s="29" t="s">
        <v>1825</v>
      </c>
      <c r="C315" s="144">
        <v>41771</v>
      </c>
      <c r="D315" s="22" t="s">
        <v>1826</v>
      </c>
      <c r="E315" s="144">
        <f t="shared" ref="E315:E316" si="41">+C315</f>
        <v>41771</v>
      </c>
      <c r="F315" s="27">
        <v>999999999</v>
      </c>
      <c r="G315" s="22" t="str">
        <f>IFERROR(VLOOKUP(F315,TERCEROS[],3,FALSE),"")</f>
        <v>DIRECCION DE IMPUESTOS Y ADUANAS NACIONALES DIAN</v>
      </c>
      <c r="H315" s="22" t="s">
        <v>1827</v>
      </c>
      <c r="I315" s="22">
        <v>1110050501</v>
      </c>
      <c r="J315" s="22" t="str">
        <f t="shared" si="34"/>
        <v>CUENTA CORRIENTE NO. 074-604125-08</v>
      </c>
      <c r="K315" s="24"/>
      <c r="L315" s="24">
        <v>21000</v>
      </c>
      <c r="M315" s="24"/>
    </row>
    <row r="316" spans="1:13" hidden="1" outlineLevel="1" x14ac:dyDescent="0.25">
      <c r="A316" s="22" t="s">
        <v>1573</v>
      </c>
      <c r="B316" s="29" t="s">
        <v>1825</v>
      </c>
      <c r="C316" s="144">
        <v>41771</v>
      </c>
      <c r="D316" s="22" t="s">
        <v>1826</v>
      </c>
      <c r="E316" s="144">
        <f t="shared" si="41"/>
        <v>41771</v>
      </c>
      <c r="F316" s="27">
        <v>999999999</v>
      </c>
      <c r="G316" s="22" t="str">
        <f>IFERROR(VLOOKUP(F316,TERCEROS[],3,FALSE),"")</f>
        <v>DIRECCION DE IMPUESTOS Y ADUANAS NACIONALES DIAN</v>
      </c>
      <c r="H316" s="22" t="s">
        <v>1827</v>
      </c>
      <c r="I316" s="22">
        <v>53959501</v>
      </c>
      <c r="J316" s="22" t="str">
        <f t="shared" si="34"/>
        <v>AJUSTE AL PESO</v>
      </c>
      <c r="K316" s="24">
        <v>452</v>
      </c>
      <c r="L316" s="24"/>
      <c r="M316" s="24"/>
    </row>
    <row r="317" spans="1:13" hidden="1" outlineLevel="1" x14ac:dyDescent="0.25">
      <c r="A317" s="22" t="s">
        <v>1553</v>
      </c>
      <c r="B317" s="29" t="s">
        <v>1784</v>
      </c>
      <c r="C317" s="144">
        <v>42004</v>
      </c>
      <c r="D317" s="22"/>
      <c r="E317" s="144">
        <f>+C317</f>
        <v>42004</v>
      </c>
      <c r="F317" s="27">
        <v>860524608</v>
      </c>
      <c r="G317" s="22" t="str">
        <f>IFERROR(VLOOKUP(F317,TERCEROS[],3,FALSE),"")</f>
        <v>ALMACEN TORONTO</v>
      </c>
      <c r="H317" s="22" t="s">
        <v>1829</v>
      </c>
      <c r="I317" s="22">
        <v>519910</v>
      </c>
      <c r="J317" s="22" t="str">
        <f t="shared" si="34"/>
        <v xml:space="preserve">DEUDORES </v>
      </c>
      <c r="K317" s="24">
        <v>89438</v>
      </c>
      <c r="L317" s="24"/>
      <c r="M317" s="24"/>
    </row>
    <row r="318" spans="1:13" hidden="1" outlineLevel="1" x14ac:dyDescent="0.25">
      <c r="A318" s="22" t="s">
        <v>1553</v>
      </c>
      <c r="B318" s="29" t="s">
        <v>1784</v>
      </c>
      <c r="C318" s="144">
        <v>42004</v>
      </c>
      <c r="D318" s="22"/>
      <c r="E318" s="144">
        <f>+C318</f>
        <v>42004</v>
      </c>
      <c r="F318" s="27">
        <v>860524608</v>
      </c>
      <c r="G318" s="22" t="str">
        <f>IFERROR(VLOOKUP(F318,TERCEROS[],3,FALSE),"")</f>
        <v>ALMACEN TORONTO</v>
      </c>
      <c r="H318" s="22" t="s">
        <v>1829</v>
      </c>
      <c r="I318" s="22">
        <v>139905</v>
      </c>
      <c r="J318" s="22" t="str">
        <f t="shared" si="34"/>
        <v xml:space="preserve">CLIENTES </v>
      </c>
      <c r="K318" s="24"/>
      <c r="L318" s="24">
        <v>89438</v>
      </c>
      <c r="M318" s="24"/>
    </row>
    <row r="319" spans="1:13" hidden="1" outlineLevel="1" x14ac:dyDescent="0.25">
      <c r="A319" s="22" t="s">
        <v>1553</v>
      </c>
      <c r="B319" s="29" t="s">
        <v>1784</v>
      </c>
      <c r="C319" s="144">
        <v>42004</v>
      </c>
      <c r="D319" s="22"/>
      <c r="E319" s="144">
        <f t="shared" ref="E319:E320" si="42">+C319</f>
        <v>42004</v>
      </c>
      <c r="F319" s="27">
        <v>800212212</v>
      </c>
      <c r="G319" s="22" t="str">
        <f>IFERROR(VLOOKUP(F319,TERCEROS[],3,FALSE),"")</f>
        <v>LOS PANTALONEROS LTDA</v>
      </c>
      <c r="H319" s="22" t="s">
        <v>1830</v>
      </c>
      <c r="I319" s="22">
        <v>519910</v>
      </c>
      <c r="J319" s="22" t="str">
        <f t="shared" ref="J319:J321" si="43">IFERROR(VLOOKUP(I319,PUC,2,FALSE),"")</f>
        <v xml:space="preserve">DEUDORES </v>
      </c>
      <c r="K319" s="24">
        <v>173028.427</v>
      </c>
      <c r="L319" s="24"/>
      <c r="M319" s="24"/>
    </row>
    <row r="320" spans="1:13" hidden="1" outlineLevel="1" x14ac:dyDescent="0.25">
      <c r="A320" s="22" t="s">
        <v>1553</v>
      </c>
      <c r="B320" s="29" t="s">
        <v>1784</v>
      </c>
      <c r="C320" s="144">
        <v>42004</v>
      </c>
      <c r="D320" s="22"/>
      <c r="E320" s="144">
        <f t="shared" si="42"/>
        <v>42004</v>
      </c>
      <c r="F320" s="27">
        <v>800212212</v>
      </c>
      <c r="G320" s="22" t="str">
        <f>IFERROR(VLOOKUP(F320,TERCEROS[],3,FALSE),"")</f>
        <v>LOS PANTALONEROS LTDA</v>
      </c>
      <c r="H320" s="22" t="s">
        <v>1830</v>
      </c>
      <c r="I320" s="22">
        <v>139905</v>
      </c>
      <c r="J320" s="22" t="str">
        <f t="shared" si="43"/>
        <v xml:space="preserve">CLIENTES </v>
      </c>
      <c r="K320" s="24"/>
      <c r="L320" s="24">
        <v>173028.427</v>
      </c>
      <c r="M320" s="24"/>
    </row>
    <row r="321" spans="1:13" collapsed="1" x14ac:dyDescent="0.25">
      <c r="A321" s="145" t="s">
        <v>1553</v>
      </c>
      <c r="B321" s="146" t="s">
        <v>1787</v>
      </c>
      <c r="C321" s="147">
        <v>42004</v>
      </c>
      <c r="D321" s="145"/>
      <c r="E321" s="147"/>
      <c r="F321" s="178">
        <v>800321322</v>
      </c>
      <c r="G321" s="145" t="str">
        <f>IFERROR(VLOOKUP(F321,TERCEROS[],3,FALSE),"")</f>
        <v>NUESTRO ALMACEN S.A.S</v>
      </c>
      <c r="H321" s="145" t="s">
        <v>1831</v>
      </c>
      <c r="I321" s="145">
        <v>41352401</v>
      </c>
      <c r="J321" s="145" t="str">
        <f t="shared" si="43"/>
        <v>VENTA DE PANTALONES</v>
      </c>
      <c r="K321" s="149">
        <v>262500</v>
      </c>
      <c r="L321" s="149"/>
      <c r="M321" s="24"/>
    </row>
    <row r="322" spans="1:13" x14ac:dyDescent="0.25">
      <c r="A322" s="145" t="s">
        <v>1553</v>
      </c>
      <c r="B322" s="146" t="s">
        <v>1787</v>
      </c>
      <c r="C322" s="147">
        <v>42004</v>
      </c>
      <c r="D322" s="145"/>
      <c r="E322" s="147"/>
      <c r="F322" s="178">
        <v>800321322</v>
      </c>
      <c r="G322" s="145" t="str">
        <f>IFERROR(VLOOKUP(F322,TERCEROS[],3,FALSE),"")</f>
        <v>NUESTRO ALMACEN S.A.S</v>
      </c>
      <c r="H322" s="145" t="s">
        <v>1831</v>
      </c>
      <c r="I322" s="145">
        <v>41352401</v>
      </c>
      <c r="J322" s="145" t="s">
        <v>1541</v>
      </c>
      <c r="K322" s="149">
        <v>1295000</v>
      </c>
      <c r="L322" s="149"/>
      <c r="M322" s="24"/>
    </row>
    <row r="323" spans="1:13" x14ac:dyDescent="0.25">
      <c r="A323" s="145" t="s">
        <v>1553</v>
      </c>
      <c r="B323" s="146" t="s">
        <v>1787</v>
      </c>
      <c r="C323" s="147">
        <v>42004</v>
      </c>
      <c r="D323" s="145"/>
      <c r="E323" s="147"/>
      <c r="F323" s="178">
        <v>800321322</v>
      </c>
      <c r="G323" s="145" t="str">
        <f>IFERROR(VLOOKUP(F323,TERCEROS[],3,FALSE),"")</f>
        <v>NUESTRO ALMACEN S.A.S</v>
      </c>
      <c r="H323" s="145" t="s">
        <v>1831</v>
      </c>
      <c r="I323" s="145">
        <v>41352402</v>
      </c>
      <c r="J323" s="145" t="s">
        <v>1542</v>
      </c>
      <c r="K323" s="149">
        <v>1573000</v>
      </c>
      <c r="L323" s="149"/>
      <c r="M323" s="24"/>
    </row>
    <row r="324" spans="1:13" x14ac:dyDescent="0.25">
      <c r="A324" s="145" t="s">
        <v>1553</v>
      </c>
      <c r="B324" s="146" t="s">
        <v>1787</v>
      </c>
      <c r="C324" s="147">
        <v>42004</v>
      </c>
      <c r="D324" s="145"/>
      <c r="E324" s="147"/>
      <c r="F324" s="178">
        <v>800321322</v>
      </c>
      <c r="G324" s="145" t="str">
        <f>IFERROR(VLOOKUP(F324,TERCEROS[],3,FALSE),"")</f>
        <v>NUESTRO ALMACEN S.A.S</v>
      </c>
      <c r="H324" s="145" t="s">
        <v>1831</v>
      </c>
      <c r="I324" s="145">
        <v>41352403</v>
      </c>
      <c r="J324" s="145" t="s">
        <v>1543</v>
      </c>
      <c r="K324" s="149">
        <v>788000</v>
      </c>
      <c r="L324" s="149"/>
      <c r="M324" s="24"/>
    </row>
    <row r="325" spans="1:13" x14ac:dyDescent="0.25">
      <c r="A325" s="145" t="s">
        <v>1553</v>
      </c>
      <c r="B325" s="146" t="s">
        <v>1787</v>
      </c>
      <c r="C325" s="147">
        <v>42004</v>
      </c>
      <c r="D325" s="145"/>
      <c r="E325" s="147"/>
      <c r="F325" s="178">
        <v>800321322</v>
      </c>
      <c r="G325" s="145" t="str">
        <f>IFERROR(VLOOKUP(F325,TERCEROS[],3,FALSE),"")</f>
        <v>NUESTRO ALMACEN S.A.S</v>
      </c>
      <c r="H325" s="145" t="s">
        <v>1831</v>
      </c>
      <c r="I325" s="145">
        <v>41352403</v>
      </c>
      <c r="J325" s="145" t="s">
        <v>1543</v>
      </c>
      <c r="K325" s="149">
        <v>1155000</v>
      </c>
      <c r="L325" s="149"/>
      <c r="M325" s="24">
        <f>SUM(K321:K333)-L326</f>
        <v>5221829</v>
      </c>
    </row>
    <row r="326" spans="1:13" x14ac:dyDescent="0.25">
      <c r="A326" s="145" t="s">
        <v>1553</v>
      </c>
      <c r="B326" s="146" t="s">
        <v>1787</v>
      </c>
      <c r="C326" s="147">
        <v>42004</v>
      </c>
      <c r="D326" s="145"/>
      <c r="E326" s="147"/>
      <c r="F326" s="178">
        <v>800321322</v>
      </c>
      <c r="G326" s="145" t="str">
        <f>IFERROR(VLOOKUP(F326,TERCEROS[],3,FALSE),"")</f>
        <v>NUESTRO ALMACEN S.A.S</v>
      </c>
      <c r="H326" s="145" t="s">
        <v>1831</v>
      </c>
      <c r="I326" s="145">
        <v>41752401</v>
      </c>
      <c r="J326" s="145" t="s">
        <v>1544</v>
      </c>
      <c r="K326" s="149"/>
      <c r="L326" s="149">
        <v>92500</v>
      </c>
      <c r="M326" s="24"/>
    </row>
    <row r="327" spans="1:13" x14ac:dyDescent="0.25">
      <c r="A327" s="145" t="s">
        <v>1553</v>
      </c>
      <c r="B327" s="146" t="s">
        <v>1787</v>
      </c>
      <c r="C327" s="147">
        <v>42004</v>
      </c>
      <c r="D327" s="145"/>
      <c r="E327" s="147"/>
      <c r="F327" s="178">
        <v>800321322</v>
      </c>
      <c r="G327" s="145" t="str">
        <f>IFERROR(VLOOKUP(F327,TERCEROS[],3,FALSE),"")</f>
        <v>NUESTRO ALMACEN S.A.S</v>
      </c>
      <c r="H327" s="145" t="s">
        <v>1831</v>
      </c>
      <c r="I327" s="145">
        <v>420530</v>
      </c>
      <c r="J327" s="145" t="s">
        <v>253</v>
      </c>
      <c r="K327" s="149">
        <v>120000</v>
      </c>
      <c r="L327" s="149"/>
      <c r="M327" s="24"/>
    </row>
    <row r="328" spans="1:13" x14ac:dyDescent="0.25">
      <c r="A328" s="145" t="s">
        <v>1553</v>
      </c>
      <c r="B328" s="146" t="s">
        <v>1787</v>
      </c>
      <c r="C328" s="147">
        <v>42004</v>
      </c>
      <c r="D328" s="145"/>
      <c r="E328" s="147"/>
      <c r="F328" s="178">
        <v>800321322</v>
      </c>
      <c r="G328" s="145" t="str">
        <f>IFERROR(VLOOKUP(F328,TERCEROS[],3,FALSE),"")</f>
        <v>NUESTRO ALMACEN S.A.S</v>
      </c>
      <c r="H328" s="145" t="s">
        <v>1831</v>
      </c>
      <c r="I328" s="145">
        <v>421005</v>
      </c>
      <c r="J328" s="145" t="s">
        <v>168</v>
      </c>
      <c r="K328" s="149">
        <v>36000</v>
      </c>
      <c r="L328" s="149"/>
      <c r="M328" s="24"/>
    </row>
    <row r="329" spans="1:13" x14ac:dyDescent="0.25">
      <c r="A329" s="145" t="s">
        <v>1553</v>
      </c>
      <c r="B329" s="146" t="s">
        <v>1787</v>
      </c>
      <c r="C329" s="147">
        <v>42004</v>
      </c>
      <c r="D329" s="145"/>
      <c r="E329" s="147"/>
      <c r="F329" s="178">
        <v>800321322</v>
      </c>
      <c r="G329" s="145" t="str">
        <f>IFERROR(VLOOKUP(F329,TERCEROS[],3,FALSE),"")</f>
        <v>NUESTRO ALMACEN S.A.S</v>
      </c>
      <c r="H329" s="145" t="s">
        <v>1831</v>
      </c>
      <c r="I329" s="145">
        <v>421040</v>
      </c>
      <c r="J329" s="145" t="s">
        <v>1041</v>
      </c>
      <c r="K329" s="149">
        <v>64032</v>
      </c>
      <c r="L329" s="149"/>
      <c r="M329" s="24"/>
    </row>
    <row r="330" spans="1:13" x14ac:dyDescent="0.25">
      <c r="A330" s="145" t="s">
        <v>1553</v>
      </c>
      <c r="B330" s="146" t="s">
        <v>1787</v>
      </c>
      <c r="C330" s="147">
        <v>42004</v>
      </c>
      <c r="D330" s="145"/>
      <c r="E330" s="147"/>
      <c r="F330" s="178">
        <v>800321322</v>
      </c>
      <c r="G330" s="145" t="str">
        <f>IFERROR(VLOOKUP(F330,TERCEROS[],3,FALSE),"")</f>
        <v>NUESTRO ALMACEN S.A.S</v>
      </c>
      <c r="H330" s="145" t="s">
        <v>1831</v>
      </c>
      <c r="I330" s="145">
        <v>429505</v>
      </c>
      <c r="J330" s="145" t="s">
        <v>1105</v>
      </c>
      <c r="K330" s="149">
        <v>20000</v>
      </c>
      <c r="L330" s="149"/>
      <c r="M330" s="24"/>
    </row>
    <row r="331" spans="1:13" x14ac:dyDescent="0.25">
      <c r="A331" s="145" t="s">
        <v>1553</v>
      </c>
      <c r="B331" s="146" t="s">
        <v>1787</v>
      </c>
      <c r="C331" s="147">
        <v>42004</v>
      </c>
      <c r="D331" s="145"/>
      <c r="E331" s="147"/>
      <c r="F331" s="178">
        <v>800321322</v>
      </c>
      <c r="G331" s="145" t="str">
        <f>IFERROR(VLOOKUP(F331,TERCEROS[],3,FALSE),"")</f>
        <v>NUESTRO ALMACEN S.A.S</v>
      </c>
      <c r="H331" s="145" t="s">
        <v>1831</v>
      </c>
      <c r="I331" s="145">
        <v>429581</v>
      </c>
      <c r="J331" s="145" t="s">
        <v>1130</v>
      </c>
      <c r="K331" s="149">
        <v>596</v>
      </c>
      <c r="L331" s="149"/>
      <c r="M331" s="24"/>
    </row>
    <row r="332" spans="1:13" x14ac:dyDescent="0.25">
      <c r="A332" s="145" t="s">
        <v>1553</v>
      </c>
      <c r="B332" s="146" t="s">
        <v>1787</v>
      </c>
      <c r="C332" s="147">
        <v>42004</v>
      </c>
      <c r="D332" s="145"/>
      <c r="E332" s="147"/>
      <c r="F332" s="178">
        <v>800321322</v>
      </c>
      <c r="G332" s="145" t="str">
        <f>IFERROR(VLOOKUP(F332,TERCEROS[],3,FALSE),"")</f>
        <v>NUESTRO ALMACEN S.A.S</v>
      </c>
      <c r="H332" s="145" t="s">
        <v>1831</v>
      </c>
      <c r="I332" s="145">
        <v>429581</v>
      </c>
      <c r="J332" s="145" t="s">
        <v>1130</v>
      </c>
      <c r="K332" s="149">
        <v>201</v>
      </c>
      <c r="L332" s="149"/>
      <c r="M332" s="24"/>
    </row>
    <row r="333" spans="1:13" x14ac:dyDescent="0.25">
      <c r="A333" s="145" t="s">
        <v>1553</v>
      </c>
      <c r="B333" s="146" t="s">
        <v>1787</v>
      </c>
      <c r="C333" s="147">
        <v>42004</v>
      </c>
      <c r="D333" s="145"/>
      <c r="E333" s="147"/>
      <c r="F333" s="178">
        <v>800321322</v>
      </c>
      <c r="G333" s="145" t="str">
        <f>IFERROR(VLOOKUP(F333,TERCEROS[],3,FALSE),"")</f>
        <v>NUESTRO ALMACEN S.A.S</v>
      </c>
      <c r="H333" s="145" t="s">
        <v>1831</v>
      </c>
      <c r="I333" s="252">
        <v>590505</v>
      </c>
      <c r="J333" s="252" t="str">
        <f t="shared" ref="J333" si="44">IFERROR(VLOOKUP(I333,PUC,2,FALSE),"")</f>
        <v xml:space="preserve">GANANCIAS Y PERDIDAS </v>
      </c>
      <c r="K333" s="253"/>
      <c r="L333" s="253">
        <v>5221829</v>
      </c>
      <c r="M333" s="24"/>
    </row>
    <row r="334" spans="1:13" x14ac:dyDescent="0.25">
      <c r="A334" s="145" t="s">
        <v>1553</v>
      </c>
      <c r="B334" s="146" t="s">
        <v>1787</v>
      </c>
      <c r="C334" s="147">
        <v>42004</v>
      </c>
      <c r="D334" s="145"/>
      <c r="E334" s="147"/>
      <c r="F334" s="178">
        <v>800321322</v>
      </c>
      <c r="G334" s="145" t="str">
        <f>IFERROR(VLOOKUP(F334,TERCEROS[],3,FALSE),"")</f>
        <v>NUESTRO ALMACEN S.A.S</v>
      </c>
      <c r="H334" s="145" t="s">
        <v>1831</v>
      </c>
      <c r="I334" s="145">
        <v>511025</v>
      </c>
      <c r="J334" s="145" t="s">
        <v>1175</v>
      </c>
      <c r="K334" s="149"/>
      <c r="L334" s="149">
        <v>1200000</v>
      </c>
      <c r="M334" s="24"/>
    </row>
    <row r="335" spans="1:13" x14ac:dyDescent="0.25">
      <c r="A335" s="145" t="s">
        <v>1553</v>
      </c>
      <c r="B335" s="146" t="s">
        <v>1787</v>
      </c>
      <c r="C335" s="147">
        <v>42004</v>
      </c>
      <c r="D335" s="145"/>
      <c r="E335" s="147"/>
      <c r="F335" s="178">
        <v>800321322</v>
      </c>
      <c r="G335" s="145" t="str">
        <f>IFERROR(VLOOKUP(F335,TERCEROS[],3,FALSE),"")</f>
        <v>NUESTRO ALMACEN S.A.S</v>
      </c>
      <c r="H335" s="145" t="s">
        <v>1831</v>
      </c>
      <c r="I335" s="145">
        <v>51159501</v>
      </c>
      <c r="J335" s="145" t="s">
        <v>1747</v>
      </c>
      <c r="K335" s="149"/>
      <c r="L335" s="149">
        <v>33209</v>
      </c>
      <c r="M335" s="24"/>
    </row>
    <row r="336" spans="1:13" x14ac:dyDescent="0.25">
      <c r="A336" s="145" t="s">
        <v>1553</v>
      </c>
      <c r="B336" s="146" t="s">
        <v>1787</v>
      </c>
      <c r="C336" s="147">
        <v>42004</v>
      </c>
      <c r="D336" s="145"/>
      <c r="E336" s="147"/>
      <c r="F336" s="178">
        <v>800321322</v>
      </c>
      <c r="G336" s="145" t="str">
        <f>IFERROR(VLOOKUP(F336,TERCEROS[],3,FALSE),"")</f>
        <v>NUESTRO ALMACEN S.A.S</v>
      </c>
      <c r="H336" s="145" t="s">
        <v>1831</v>
      </c>
      <c r="I336" s="145">
        <v>513515</v>
      </c>
      <c r="J336" s="145" t="s">
        <v>1059</v>
      </c>
      <c r="K336" s="149"/>
      <c r="L336" s="149">
        <v>600000</v>
      </c>
      <c r="M336" s="24"/>
    </row>
    <row r="337" spans="1:13" x14ac:dyDescent="0.25">
      <c r="A337" s="145" t="s">
        <v>1553</v>
      </c>
      <c r="B337" s="146" t="s">
        <v>1787</v>
      </c>
      <c r="C337" s="147">
        <v>42004</v>
      </c>
      <c r="D337" s="145"/>
      <c r="E337" s="147"/>
      <c r="F337" s="178">
        <v>800321322</v>
      </c>
      <c r="G337" s="145" t="str">
        <f>IFERROR(VLOOKUP(F337,TERCEROS[],3,FALSE),"")</f>
        <v>NUESTRO ALMACEN S.A.S</v>
      </c>
      <c r="H337" s="145" t="s">
        <v>1831</v>
      </c>
      <c r="I337" s="145">
        <v>513535</v>
      </c>
      <c r="J337" s="145" t="s">
        <v>1198</v>
      </c>
      <c r="K337" s="149"/>
      <c r="L337" s="149">
        <v>29120</v>
      </c>
      <c r="M337" s="24"/>
    </row>
    <row r="338" spans="1:13" x14ac:dyDescent="0.25">
      <c r="A338" s="145" t="s">
        <v>1553</v>
      </c>
      <c r="B338" s="146" t="s">
        <v>1787</v>
      </c>
      <c r="C338" s="147">
        <v>42004</v>
      </c>
      <c r="D338" s="145"/>
      <c r="E338" s="147"/>
      <c r="F338" s="178">
        <v>800321322</v>
      </c>
      <c r="G338" s="145" t="str">
        <f>IFERROR(VLOOKUP(F338,TERCEROS[],3,FALSE),"")</f>
        <v>NUESTRO ALMACEN S.A.S</v>
      </c>
      <c r="H338" s="145" t="s">
        <v>1831</v>
      </c>
      <c r="I338" s="145">
        <v>514010</v>
      </c>
      <c r="J338" s="145" t="s">
        <v>1204</v>
      </c>
      <c r="K338" s="149"/>
      <c r="L338" s="149">
        <v>145000</v>
      </c>
      <c r="M338" s="24"/>
    </row>
    <row r="339" spans="1:13" x14ac:dyDescent="0.25">
      <c r="A339" s="145" t="s">
        <v>1553</v>
      </c>
      <c r="B339" s="146" t="s">
        <v>1787</v>
      </c>
      <c r="C339" s="147">
        <v>42004</v>
      </c>
      <c r="D339" s="145"/>
      <c r="E339" s="147"/>
      <c r="F339" s="178">
        <v>800321322</v>
      </c>
      <c r="G339" s="145" t="str">
        <f>IFERROR(VLOOKUP(F339,TERCEROS[],3,FALSE),"")</f>
        <v>NUESTRO ALMACEN S.A.S</v>
      </c>
      <c r="H339" s="145" t="s">
        <v>1831</v>
      </c>
      <c r="I339" s="145">
        <v>519525</v>
      </c>
      <c r="J339" s="145" t="s">
        <v>431</v>
      </c>
      <c r="K339" s="149"/>
      <c r="L339" s="149">
        <v>45000</v>
      </c>
      <c r="M339" s="24"/>
    </row>
    <row r="340" spans="1:13" x14ac:dyDescent="0.25">
      <c r="A340" s="145" t="s">
        <v>1553</v>
      </c>
      <c r="B340" s="146" t="s">
        <v>1787</v>
      </c>
      <c r="C340" s="147">
        <v>42004</v>
      </c>
      <c r="D340" s="145"/>
      <c r="E340" s="147"/>
      <c r="F340" s="178">
        <v>800321322</v>
      </c>
      <c r="G340" s="145" t="str">
        <f>IFERROR(VLOOKUP(F340,TERCEROS[],3,FALSE),"")</f>
        <v>NUESTRO ALMACEN S.A.S</v>
      </c>
      <c r="H340" s="145" t="s">
        <v>1831</v>
      </c>
      <c r="I340" s="145">
        <v>519525</v>
      </c>
      <c r="J340" s="145" t="s">
        <v>431</v>
      </c>
      <c r="K340" s="149"/>
      <c r="L340" s="149">
        <v>61000</v>
      </c>
      <c r="M340" s="24"/>
    </row>
    <row r="341" spans="1:13" x14ac:dyDescent="0.25">
      <c r="A341" s="145" t="s">
        <v>1553</v>
      </c>
      <c r="B341" s="146" t="s">
        <v>1787</v>
      </c>
      <c r="C341" s="147">
        <v>42004</v>
      </c>
      <c r="D341" s="145"/>
      <c r="E341" s="147"/>
      <c r="F341" s="178">
        <v>800321322</v>
      </c>
      <c r="G341" s="145" t="str">
        <f>IFERROR(VLOOKUP(F341,TERCEROS[],3,FALSE),"")</f>
        <v>NUESTRO ALMACEN S.A.S</v>
      </c>
      <c r="H341" s="145" t="s">
        <v>1831</v>
      </c>
      <c r="I341" s="145">
        <v>519530</v>
      </c>
      <c r="J341" s="145" t="s">
        <v>1125</v>
      </c>
      <c r="K341" s="149"/>
      <c r="L341" s="149">
        <v>166666.66666666666</v>
      </c>
      <c r="M341" s="24"/>
    </row>
    <row r="342" spans="1:13" x14ac:dyDescent="0.25">
      <c r="A342" s="145" t="s">
        <v>1553</v>
      </c>
      <c r="B342" s="146" t="s">
        <v>1787</v>
      </c>
      <c r="C342" s="147">
        <v>42004</v>
      </c>
      <c r="D342" s="145"/>
      <c r="E342" s="147"/>
      <c r="F342" s="178">
        <v>800321322</v>
      </c>
      <c r="G342" s="145" t="str">
        <f>IFERROR(VLOOKUP(F342,TERCEROS[],3,FALSE),"")</f>
        <v>NUESTRO ALMACEN S.A.S</v>
      </c>
      <c r="H342" s="145" t="s">
        <v>1831</v>
      </c>
      <c r="I342" s="145">
        <v>519545</v>
      </c>
      <c r="J342" s="145" t="s">
        <v>1221</v>
      </c>
      <c r="K342" s="149"/>
      <c r="L342" s="149">
        <v>12000</v>
      </c>
      <c r="M342" s="24"/>
    </row>
    <row r="343" spans="1:13" x14ac:dyDescent="0.25">
      <c r="A343" s="145" t="s">
        <v>1553</v>
      </c>
      <c r="B343" s="146" t="s">
        <v>1787</v>
      </c>
      <c r="C343" s="147">
        <v>42004</v>
      </c>
      <c r="D343" s="145"/>
      <c r="E343" s="147"/>
      <c r="F343" s="178">
        <v>800321322</v>
      </c>
      <c r="G343" s="145" t="str">
        <f>IFERROR(VLOOKUP(F343,TERCEROS[],3,FALSE),"")</f>
        <v>NUESTRO ALMACEN S.A.S</v>
      </c>
      <c r="H343" s="145" t="s">
        <v>1831</v>
      </c>
      <c r="I343" s="145">
        <v>519910</v>
      </c>
      <c r="J343" s="145" t="s">
        <v>116</v>
      </c>
      <c r="K343" s="149"/>
      <c r="L343" s="149">
        <v>89438</v>
      </c>
      <c r="M343" s="24"/>
    </row>
    <row r="344" spans="1:13" x14ac:dyDescent="0.25">
      <c r="A344" s="145" t="s">
        <v>1553</v>
      </c>
      <c r="B344" s="146" t="s">
        <v>1787</v>
      </c>
      <c r="C344" s="147">
        <v>42004</v>
      </c>
      <c r="D344" s="145"/>
      <c r="E344" s="147"/>
      <c r="F344" s="178">
        <v>800321322</v>
      </c>
      <c r="G344" s="145" t="str">
        <f>IFERROR(VLOOKUP(F344,TERCEROS[],3,FALSE),"")</f>
        <v>NUESTRO ALMACEN S.A.S</v>
      </c>
      <c r="H344" s="145" t="s">
        <v>1831</v>
      </c>
      <c r="I344" s="145">
        <v>519910</v>
      </c>
      <c r="J344" s="145" t="s">
        <v>116</v>
      </c>
      <c r="K344" s="149"/>
      <c r="L344" s="149">
        <v>173028.427</v>
      </c>
      <c r="M344" s="24"/>
    </row>
    <row r="345" spans="1:13" x14ac:dyDescent="0.25">
      <c r="A345" s="145" t="s">
        <v>1553</v>
      </c>
      <c r="B345" s="146" t="s">
        <v>1787</v>
      </c>
      <c r="C345" s="147">
        <v>42004</v>
      </c>
      <c r="D345" s="145"/>
      <c r="E345" s="147"/>
      <c r="F345" s="178">
        <v>800321322</v>
      </c>
      <c r="G345" s="145" t="str">
        <f>IFERROR(VLOOKUP(F345,TERCEROS[],3,FALSE),"")</f>
        <v>NUESTRO ALMACEN S.A.S</v>
      </c>
      <c r="H345" s="145" t="s">
        <v>1831</v>
      </c>
      <c r="I345" s="145">
        <v>520506</v>
      </c>
      <c r="J345" s="145" t="s">
        <v>1156</v>
      </c>
      <c r="K345" s="149"/>
      <c r="L345" s="149">
        <v>616000</v>
      </c>
      <c r="M345" s="24"/>
    </row>
    <row r="346" spans="1:13" x14ac:dyDescent="0.25">
      <c r="A346" s="145" t="s">
        <v>1553</v>
      </c>
      <c r="B346" s="146" t="s">
        <v>1787</v>
      </c>
      <c r="C346" s="147">
        <v>42004</v>
      </c>
      <c r="D346" s="145"/>
      <c r="E346" s="147"/>
      <c r="F346" s="178">
        <v>800321322</v>
      </c>
      <c r="G346" s="145" t="str">
        <f>IFERROR(VLOOKUP(F346,TERCEROS[],3,FALSE),"")</f>
        <v>NUESTRO ALMACEN S.A.S</v>
      </c>
      <c r="H346" s="145" t="s">
        <v>1831</v>
      </c>
      <c r="I346" s="145">
        <v>520506</v>
      </c>
      <c r="J346" s="145" t="s">
        <v>1156</v>
      </c>
      <c r="K346" s="149"/>
      <c r="L346" s="149">
        <v>653333.33333333326</v>
      </c>
      <c r="M346" s="24"/>
    </row>
    <row r="347" spans="1:13" x14ac:dyDescent="0.25">
      <c r="A347" s="145" t="s">
        <v>1553</v>
      </c>
      <c r="B347" s="146" t="s">
        <v>1787</v>
      </c>
      <c r="C347" s="147">
        <v>42004</v>
      </c>
      <c r="D347" s="145"/>
      <c r="E347" s="147"/>
      <c r="F347" s="178">
        <v>800321322</v>
      </c>
      <c r="G347" s="145" t="str">
        <f>IFERROR(VLOOKUP(F347,TERCEROS[],3,FALSE),"")</f>
        <v>NUESTRO ALMACEN S.A.S</v>
      </c>
      <c r="H347" s="145" t="s">
        <v>1831</v>
      </c>
      <c r="I347" s="145">
        <v>520506</v>
      </c>
      <c r="J347" s="145" t="s">
        <v>1156</v>
      </c>
      <c r="K347" s="149"/>
      <c r="L347" s="149">
        <v>2750000</v>
      </c>
      <c r="M347" s="24"/>
    </row>
    <row r="348" spans="1:13" x14ac:dyDescent="0.25">
      <c r="A348" s="145" t="s">
        <v>1553</v>
      </c>
      <c r="B348" s="146" t="s">
        <v>1787</v>
      </c>
      <c r="C348" s="147">
        <v>42004</v>
      </c>
      <c r="D348" s="145"/>
      <c r="E348" s="147"/>
      <c r="F348" s="178">
        <v>800321322</v>
      </c>
      <c r="G348" s="145" t="str">
        <f>IFERROR(VLOOKUP(F348,TERCEROS[],3,FALSE),"")</f>
        <v>NUESTRO ALMACEN S.A.S</v>
      </c>
      <c r="H348" s="145" t="s">
        <v>1831</v>
      </c>
      <c r="I348" s="145">
        <v>520515</v>
      </c>
      <c r="J348" s="145" t="s">
        <v>1158</v>
      </c>
      <c r="K348" s="149"/>
      <c r="L348" s="149">
        <v>19892</v>
      </c>
      <c r="M348" s="24"/>
    </row>
    <row r="349" spans="1:13" x14ac:dyDescent="0.25">
      <c r="A349" s="145" t="s">
        <v>1553</v>
      </c>
      <c r="B349" s="146" t="s">
        <v>1787</v>
      </c>
      <c r="C349" s="147">
        <v>42004</v>
      </c>
      <c r="D349" s="145"/>
      <c r="E349" s="147"/>
      <c r="F349" s="178">
        <v>800321322</v>
      </c>
      <c r="G349" s="145" t="str">
        <f>IFERROR(VLOOKUP(F349,TERCEROS[],3,FALSE),"")</f>
        <v>NUESTRO ALMACEN S.A.S</v>
      </c>
      <c r="H349" s="145" t="s">
        <v>1831</v>
      </c>
      <c r="I349" s="145">
        <v>520518</v>
      </c>
      <c r="J349" s="145" t="s">
        <v>169</v>
      </c>
      <c r="K349" s="149"/>
      <c r="L349" s="149">
        <v>68000</v>
      </c>
      <c r="M349" s="24"/>
    </row>
    <row r="350" spans="1:13" x14ac:dyDescent="0.25">
      <c r="A350" s="145" t="s">
        <v>1553</v>
      </c>
      <c r="B350" s="146" t="s">
        <v>1787</v>
      </c>
      <c r="C350" s="147">
        <v>42004</v>
      </c>
      <c r="D350" s="145"/>
      <c r="E350" s="147"/>
      <c r="F350" s="178">
        <v>800321322</v>
      </c>
      <c r="G350" s="145" t="str">
        <f>IFERROR(VLOOKUP(F350,TERCEROS[],3,FALSE),"")</f>
        <v>NUESTRO ALMACEN S.A.S</v>
      </c>
      <c r="H350" s="145" t="s">
        <v>1831</v>
      </c>
      <c r="I350" s="145">
        <v>520527</v>
      </c>
      <c r="J350" s="145" t="s">
        <v>1160</v>
      </c>
      <c r="K350" s="149"/>
      <c r="L350" s="149">
        <v>72000</v>
      </c>
      <c r="M350" s="24"/>
    </row>
    <row r="351" spans="1:13" x14ac:dyDescent="0.25">
      <c r="A351" s="145" t="s">
        <v>1553</v>
      </c>
      <c r="B351" s="146" t="s">
        <v>1787</v>
      </c>
      <c r="C351" s="147">
        <v>42004</v>
      </c>
      <c r="D351" s="145"/>
      <c r="E351" s="147"/>
      <c r="F351" s="178">
        <v>800321322</v>
      </c>
      <c r="G351" s="145" t="str">
        <f>IFERROR(VLOOKUP(F351,TERCEROS[],3,FALSE),"")</f>
        <v>NUESTRO ALMACEN S.A.S</v>
      </c>
      <c r="H351" s="145" t="s">
        <v>1831</v>
      </c>
      <c r="I351" s="145">
        <v>520527</v>
      </c>
      <c r="J351" s="145" t="s">
        <v>1160</v>
      </c>
      <c r="K351" s="149"/>
      <c r="L351" s="149">
        <v>67200</v>
      </c>
      <c r="M351" s="24"/>
    </row>
    <row r="352" spans="1:13" x14ac:dyDescent="0.25">
      <c r="A352" s="145" t="s">
        <v>1553</v>
      </c>
      <c r="B352" s="146" t="s">
        <v>1787</v>
      </c>
      <c r="C352" s="147">
        <v>42004</v>
      </c>
      <c r="D352" s="145"/>
      <c r="E352" s="147"/>
      <c r="F352" s="178">
        <v>800321322</v>
      </c>
      <c r="G352" s="145" t="str">
        <f>IFERROR(VLOOKUP(F352,TERCEROS[],3,FALSE),"")</f>
        <v>NUESTRO ALMACEN S.A.S</v>
      </c>
      <c r="H352" s="145" t="s">
        <v>1831</v>
      </c>
      <c r="I352" s="145">
        <v>520530</v>
      </c>
      <c r="J352" s="145" t="s">
        <v>617</v>
      </c>
      <c r="K352" s="149"/>
      <c r="L352" s="149">
        <v>58988.612583333328</v>
      </c>
      <c r="M352" s="24"/>
    </row>
    <row r="353" spans="1:13" x14ac:dyDescent="0.25">
      <c r="A353" s="145" t="s">
        <v>1553</v>
      </c>
      <c r="B353" s="146" t="s">
        <v>1787</v>
      </c>
      <c r="C353" s="147">
        <v>42004</v>
      </c>
      <c r="D353" s="145"/>
      <c r="E353" s="147"/>
      <c r="F353" s="178">
        <v>800321322</v>
      </c>
      <c r="G353" s="145" t="str">
        <f>IFERROR(VLOOKUP(F353,TERCEROS[],3,FALSE),"")</f>
        <v>NUESTRO ALMACEN S.A.S</v>
      </c>
      <c r="H353" s="145" t="s">
        <v>1831</v>
      </c>
      <c r="I353" s="145">
        <v>520530</v>
      </c>
      <c r="J353" s="145" t="s">
        <v>617</v>
      </c>
      <c r="K353" s="149"/>
      <c r="L353" s="149">
        <v>65708.482666666663</v>
      </c>
      <c r="M353" s="24"/>
    </row>
    <row r="354" spans="1:13" x14ac:dyDescent="0.25">
      <c r="A354" s="145" t="s">
        <v>1553</v>
      </c>
      <c r="B354" s="146" t="s">
        <v>1787</v>
      </c>
      <c r="C354" s="147">
        <v>42004</v>
      </c>
      <c r="D354" s="145"/>
      <c r="E354" s="147"/>
      <c r="F354" s="178">
        <v>800321322</v>
      </c>
      <c r="G354" s="145" t="str">
        <f>IFERROR(VLOOKUP(F354,TERCEROS[],3,FALSE),"")</f>
        <v>NUESTRO ALMACEN S.A.S</v>
      </c>
      <c r="H354" s="145" t="s">
        <v>1831</v>
      </c>
      <c r="I354" s="145">
        <v>520530</v>
      </c>
      <c r="J354" s="145" t="s">
        <v>617</v>
      </c>
      <c r="K354" s="149"/>
      <c r="L354" s="149">
        <v>229157.5</v>
      </c>
      <c r="M354" s="24"/>
    </row>
    <row r="355" spans="1:13" x14ac:dyDescent="0.25">
      <c r="A355" s="145" t="s">
        <v>1553</v>
      </c>
      <c r="B355" s="146" t="s">
        <v>1787</v>
      </c>
      <c r="C355" s="147">
        <v>42004</v>
      </c>
      <c r="D355" s="145"/>
      <c r="E355" s="147"/>
      <c r="F355" s="178">
        <v>800321322</v>
      </c>
      <c r="G355" s="145" t="str">
        <f>IFERROR(VLOOKUP(F355,TERCEROS[],3,FALSE),"")</f>
        <v>NUESTRO ALMACEN S.A.S</v>
      </c>
      <c r="H355" s="145" t="s">
        <v>1831</v>
      </c>
      <c r="I355" s="145">
        <v>520533</v>
      </c>
      <c r="J355" s="145" t="s">
        <v>596</v>
      </c>
      <c r="K355" s="149"/>
      <c r="L355" s="149">
        <v>7078.6335099999988</v>
      </c>
      <c r="M355" s="24"/>
    </row>
    <row r="356" spans="1:13" x14ac:dyDescent="0.25">
      <c r="A356" s="145" t="s">
        <v>1553</v>
      </c>
      <c r="B356" s="146" t="s">
        <v>1787</v>
      </c>
      <c r="C356" s="147">
        <v>42004</v>
      </c>
      <c r="D356" s="145"/>
      <c r="E356" s="147"/>
      <c r="F356" s="178">
        <v>800321322</v>
      </c>
      <c r="G356" s="145" t="str">
        <f>IFERROR(VLOOKUP(F356,TERCEROS[],3,FALSE),"")</f>
        <v>NUESTRO ALMACEN S.A.S</v>
      </c>
      <c r="H356" s="145" t="s">
        <v>1831</v>
      </c>
      <c r="I356" s="145">
        <v>520533</v>
      </c>
      <c r="J356" s="145" t="s">
        <v>596</v>
      </c>
      <c r="K356" s="149"/>
      <c r="L356" s="149">
        <v>7885.0179199999993</v>
      </c>
      <c r="M356" s="24"/>
    </row>
    <row r="357" spans="1:13" x14ac:dyDescent="0.25">
      <c r="A357" s="145" t="s">
        <v>1553</v>
      </c>
      <c r="B357" s="146" t="s">
        <v>1787</v>
      </c>
      <c r="C357" s="147">
        <v>42004</v>
      </c>
      <c r="D357" s="145"/>
      <c r="E357" s="147"/>
      <c r="F357" s="178">
        <v>800321322</v>
      </c>
      <c r="G357" s="145" t="str">
        <f>IFERROR(VLOOKUP(F357,TERCEROS[],3,FALSE),"")</f>
        <v>NUESTRO ALMACEN S.A.S</v>
      </c>
      <c r="H357" s="145" t="s">
        <v>1831</v>
      </c>
      <c r="I357" s="145">
        <v>520533</v>
      </c>
      <c r="J357" s="145" t="s">
        <v>596</v>
      </c>
      <c r="K357" s="149"/>
      <c r="L357" s="149">
        <v>27498.899999999998</v>
      </c>
      <c r="M357" s="24"/>
    </row>
    <row r="358" spans="1:13" x14ac:dyDescent="0.25">
      <c r="A358" s="145" t="s">
        <v>1553</v>
      </c>
      <c r="B358" s="146" t="s">
        <v>1787</v>
      </c>
      <c r="C358" s="147">
        <v>42004</v>
      </c>
      <c r="D358" s="145"/>
      <c r="E358" s="147"/>
      <c r="F358" s="178">
        <v>800321322</v>
      </c>
      <c r="G358" s="145" t="str">
        <f>IFERROR(VLOOKUP(F358,TERCEROS[],3,FALSE),"")</f>
        <v>NUESTRO ALMACEN S.A.S</v>
      </c>
      <c r="H358" s="145" t="s">
        <v>1831</v>
      </c>
      <c r="I358" s="145">
        <v>520536</v>
      </c>
      <c r="J358" s="145" t="s">
        <v>598</v>
      </c>
      <c r="K358" s="149"/>
      <c r="L358" s="149">
        <v>58988.612583333328</v>
      </c>
      <c r="M358" s="24"/>
    </row>
    <row r="359" spans="1:13" x14ac:dyDescent="0.25">
      <c r="A359" s="145" t="s">
        <v>1553</v>
      </c>
      <c r="B359" s="146" t="s">
        <v>1787</v>
      </c>
      <c r="C359" s="147">
        <v>42004</v>
      </c>
      <c r="D359" s="145"/>
      <c r="E359" s="147"/>
      <c r="F359" s="178">
        <v>800321322</v>
      </c>
      <c r="G359" s="145" t="str">
        <f>IFERROR(VLOOKUP(F359,TERCEROS[],3,FALSE),"")</f>
        <v>NUESTRO ALMACEN S.A.S</v>
      </c>
      <c r="H359" s="145" t="s">
        <v>1831</v>
      </c>
      <c r="I359" s="145">
        <v>520536</v>
      </c>
      <c r="J359" s="145" t="s">
        <v>598</v>
      </c>
      <c r="K359" s="149"/>
      <c r="L359" s="149">
        <v>65708.482666666663</v>
      </c>
      <c r="M359" s="24"/>
    </row>
    <row r="360" spans="1:13" x14ac:dyDescent="0.25">
      <c r="A360" s="145" t="s">
        <v>1553</v>
      </c>
      <c r="B360" s="146" t="s">
        <v>1787</v>
      </c>
      <c r="C360" s="147">
        <v>42004</v>
      </c>
      <c r="D360" s="145"/>
      <c r="E360" s="147"/>
      <c r="F360" s="178">
        <v>800321322</v>
      </c>
      <c r="G360" s="145" t="str">
        <f>IFERROR(VLOOKUP(F360,TERCEROS[],3,FALSE),"")</f>
        <v>NUESTRO ALMACEN S.A.S</v>
      </c>
      <c r="H360" s="145" t="s">
        <v>1831</v>
      </c>
      <c r="I360" s="145">
        <v>520536</v>
      </c>
      <c r="J360" s="145" t="s">
        <v>598</v>
      </c>
      <c r="K360" s="149"/>
      <c r="L360" s="149">
        <v>229157.5</v>
      </c>
      <c r="M360" s="24"/>
    </row>
    <row r="361" spans="1:13" x14ac:dyDescent="0.25">
      <c r="A361" s="145" t="s">
        <v>1553</v>
      </c>
      <c r="B361" s="146" t="s">
        <v>1787</v>
      </c>
      <c r="C361" s="147">
        <v>42004</v>
      </c>
      <c r="D361" s="145"/>
      <c r="E361" s="147"/>
      <c r="F361" s="178">
        <v>800321322</v>
      </c>
      <c r="G361" s="145" t="str">
        <f>IFERROR(VLOOKUP(F361,TERCEROS[],3,FALSE),"")</f>
        <v>NUESTRO ALMACEN S.A.S</v>
      </c>
      <c r="H361" s="145" t="s">
        <v>1831</v>
      </c>
      <c r="I361" s="145">
        <v>520539</v>
      </c>
      <c r="J361" s="145" t="s">
        <v>618</v>
      </c>
      <c r="K361" s="149"/>
      <c r="L361" s="149">
        <v>26516.682499999999</v>
      </c>
      <c r="M361" s="24"/>
    </row>
    <row r="362" spans="1:13" x14ac:dyDescent="0.25">
      <c r="A362" s="145" t="s">
        <v>1553</v>
      </c>
      <c r="B362" s="146" t="s">
        <v>1787</v>
      </c>
      <c r="C362" s="147">
        <v>42004</v>
      </c>
      <c r="D362" s="145"/>
      <c r="E362" s="147"/>
      <c r="F362" s="178">
        <v>800321322</v>
      </c>
      <c r="G362" s="145" t="str">
        <f>IFERROR(VLOOKUP(F362,TERCEROS[],3,FALSE),"")</f>
        <v>NUESTRO ALMACEN S.A.S</v>
      </c>
      <c r="H362" s="145" t="s">
        <v>1831</v>
      </c>
      <c r="I362" s="145">
        <v>520539</v>
      </c>
      <c r="J362" s="145" t="s">
        <v>618</v>
      </c>
      <c r="K362" s="149"/>
      <c r="L362" s="149">
        <v>30079.599999999995</v>
      </c>
      <c r="M362" s="24"/>
    </row>
    <row r="363" spans="1:13" x14ac:dyDescent="0.25">
      <c r="A363" s="145" t="s">
        <v>1553</v>
      </c>
      <c r="B363" s="146" t="s">
        <v>1787</v>
      </c>
      <c r="C363" s="147">
        <v>42004</v>
      </c>
      <c r="D363" s="145"/>
      <c r="E363" s="147"/>
      <c r="F363" s="178">
        <v>800321322</v>
      </c>
      <c r="G363" s="145" t="str">
        <f>IFERROR(VLOOKUP(F363,TERCEROS[],3,FALSE),"")</f>
        <v>NUESTRO ALMACEN S.A.S</v>
      </c>
      <c r="H363" s="145" t="s">
        <v>1831</v>
      </c>
      <c r="I363" s="145">
        <v>520539</v>
      </c>
      <c r="J363" s="145" t="s">
        <v>618</v>
      </c>
      <c r="K363" s="149"/>
      <c r="L363" s="149">
        <v>114675</v>
      </c>
      <c r="M363" s="24"/>
    </row>
    <row r="364" spans="1:13" x14ac:dyDescent="0.25">
      <c r="A364" s="145" t="s">
        <v>1553</v>
      </c>
      <c r="B364" s="146" t="s">
        <v>1787</v>
      </c>
      <c r="C364" s="147">
        <v>42004</v>
      </c>
      <c r="D364" s="145"/>
      <c r="E364" s="147"/>
      <c r="F364" s="178">
        <v>800321322</v>
      </c>
      <c r="G364" s="145" t="str">
        <f>IFERROR(VLOOKUP(F364,TERCEROS[],3,FALSE),"")</f>
        <v>NUESTRO ALMACEN S.A.S</v>
      </c>
      <c r="H364" s="145" t="s">
        <v>1831</v>
      </c>
      <c r="I364" s="145">
        <v>520568</v>
      </c>
      <c r="J364" s="145" t="s">
        <v>1766</v>
      </c>
      <c r="K364" s="149"/>
      <c r="L364" s="149">
        <v>21439.714500000002</v>
      </c>
      <c r="M364" s="24"/>
    </row>
    <row r="365" spans="1:13" x14ac:dyDescent="0.25">
      <c r="A365" s="145" t="s">
        <v>1553</v>
      </c>
      <c r="B365" s="146" t="s">
        <v>1787</v>
      </c>
      <c r="C365" s="147">
        <v>42004</v>
      </c>
      <c r="D365" s="145"/>
      <c r="E365" s="147"/>
      <c r="F365" s="178">
        <v>800321322</v>
      </c>
      <c r="G365" s="145" t="str">
        <f>IFERROR(VLOOKUP(F365,TERCEROS[],3,FALSE),"")</f>
        <v>NUESTRO ALMACEN S.A.S</v>
      </c>
      <c r="H365" s="145" t="s">
        <v>1831</v>
      </c>
      <c r="I365" s="145">
        <v>520570</v>
      </c>
      <c r="J365" s="145" t="s">
        <v>1765</v>
      </c>
      <c r="K365" s="149"/>
      <c r="L365" s="149">
        <v>76306.999999999985</v>
      </c>
      <c r="M365" s="24"/>
    </row>
    <row r="366" spans="1:13" x14ac:dyDescent="0.25">
      <c r="A366" s="145" t="s">
        <v>1553</v>
      </c>
      <c r="B366" s="146" t="s">
        <v>1787</v>
      </c>
      <c r="C366" s="147">
        <v>42004</v>
      </c>
      <c r="D366" s="145"/>
      <c r="E366" s="147"/>
      <c r="F366" s="178">
        <v>800321322</v>
      </c>
      <c r="G366" s="145" t="str">
        <f>IFERROR(VLOOKUP(F366,TERCEROS[],3,FALSE),"")</f>
        <v>NUESTRO ALMACEN S.A.S</v>
      </c>
      <c r="H366" s="145" t="s">
        <v>1831</v>
      </c>
      <c r="I366" s="145">
        <v>520570</v>
      </c>
      <c r="J366" s="145" t="s">
        <v>1765</v>
      </c>
      <c r="K366" s="149"/>
      <c r="L366" s="149">
        <v>86559.999999999985</v>
      </c>
      <c r="M366" s="24"/>
    </row>
    <row r="367" spans="1:13" x14ac:dyDescent="0.25">
      <c r="A367" s="145" t="s">
        <v>1553</v>
      </c>
      <c r="B367" s="146" t="s">
        <v>1787</v>
      </c>
      <c r="C367" s="147">
        <v>42004</v>
      </c>
      <c r="D367" s="145"/>
      <c r="E367" s="147"/>
      <c r="F367" s="178">
        <v>800321322</v>
      </c>
      <c r="G367" s="145" t="str">
        <f>IFERROR(VLOOKUP(F367,TERCEROS[],3,FALSE),"")</f>
        <v>NUESTRO ALMACEN S.A.S</v>
      </c>
      <c r="H367" s="145" t="s">
        <v>1831</v>
      </c>
      <c r="I367" s="145">
        <v>520570</v>
      </c>
      <c r="J367" s="145" t="s">
        <v>1765</v>
      </c>
      <c r="K367" s="149"/>
      <c r="L367" s="149">
        <v>330000</v>
      </c>
      <c r="M367" s="24"/>
    </row>
    <row r="368" spans="1:13" x14ac:dyDescent="0.25">
      <c r="A368" s="145" t="s">
        <v>1553</v>
      </c>
      <c r="B368" s="146" t="s">
        <v>1787</v>
      </c>
      <c r="C368" s="147">
        <v>42004</v>
      </c>
      <c r="D368" s="145"/>
      <c r="E368" s="147"/>
      <c r="F368" s="178">
        <v>800321322</v>
      </c>
      <c r="G368" s="145" t="str">
        <f>IFERROR(VLOOKUP(F368,TERCEROS[],3,FALSE),"")</f>
        <v>NUESTRO ALMACEN S.A.S</v>
      </c>
      <c r="H368" s="145" t="s">
        <v>1831</v>
      </c>
      <c r="I368" s="145">
        <v>52150501</v>
      </c>
      <c r="J368" s="145" t="s">
        <v>1818</v>
      </c>
      <c r="K368" s="149"/>
      <c r="L368" s="149">
        <v>55000</v>
      </c>
      <c r="M368" s="24"/>
    </row>
    <row r="369" spans="1:13" x14ac:dyDescent="0.25">
      <c r="A369" s="145" t="s">
        <v>1553</v>
      </c>
      <c r="B369" s="146" t="s">
        <v>1787</v>
      </c>
      <c r="C369" s="147">
        <v>42004</v>
      </c>
      <c r="D369" s="145"/>
      <c r="E369" s="147"/>
      <c r="F369" s="178">
        <v>800321322</v>
      </c>
      <c r="G369" s="145" t="str">
        <f>IFERROR(VLOOKUP(F369,TERCEROS[],3,FALSE),"")</f>
        <v>NUESTRO ALMACEN S.A.S</v>
      </c>
      <c r="H369" s="145" t="s">
        <v>1831</v>
      </c>
      <c r="I369" s="145">
        <v>52150502</v>
      </c>
      <c r="J369" s="145" t="s">
        <v>1819</v>
      </c>
      <c r="K369" s="149"/>
      <c r="L369" s="149">
        <v>8000</v>
      </c>
      <c r="M369" s="24"/>
    </row>
    <row r="370" spans="1:13" x14ac:dyDescent="0.25">
      <c r="A370" s="145" t="s">
        <v>1553</v>
      </c>
      <c r="B370" s="146" t="s">
        <v>1787</v>
      </c>
      <c r="C370" s="147">
        <v>42004</v>
      </c>
      <c r="D370" s="145"/>
      <c r="E370" s="147"/>
      <c r="F370" s="178">
        <v>800321322</v>
      </c>
      <c r="G370" s="145" t="str">
        <f>IFERROR(VLOOKUP(F370,TERCEROS[],3,FALSE),"")</f>
        <v>NUESTRO ALMACEN S.A.S</v>
      </c>
      <c r="H370" s="145" t="s">
        <v>1831</v>
      </c>
      <c r="I370" s="145">
        <v>522010</v>
      </c>
      <c r="J370" s="145" t="s">
        <v>269</v>
      </c>
      <c r="K370" s="149"/>
      <c r="L370" s="149">
        <v>416666.66666666669</v>
      </c>
      <c r="M370" s="24"/>
    </row>
    <row r="371" spans="1:13" x14ac:dyDescent="0.25">
      <c r="A371" s="145" t="s">
        <v>1553</v>
      </c>
      <c r="B371" s="146" t="s">
        <v>1787</v>
      </c>
      <c r="C371" s="147">
        <v>42004</v>
      </c>
      <c r="D371" s="145"/>
      <c r="E371" s="147"/>
      <c r="F371" s="178">
        <v>800321322</v>
      </c>
      <c r="G371" s="145" t="str">
        <f>IFERROR(VLOOKUP(F371,TERCEROS[],3,FALSE),"")</f>
        <v>NUESTRO ALMACEN S.A.S</v>
      </c>
      <c r="H371" s="145" t="s">
        <v>1831</v>
      </c>
      <c r="I371" s="145">
        <v>523525</v>
      </c>
      <c r="J371" s="145" t="s">
        <v>625</v>
      </c>
      <c r="K371" s="149"/>
      <c r="L371" s="149">
        <v>72000</v>
      </c>
      <c r="M371" s="24"/>
    </row>
    <row r="372" spans="1:13" x14ac:dyDescent="0.25">
      <c r="A372" s="145" t="s">
        <v>1553</v>
      </c>
      <c r="B372" s="146" t="s">
        <v>1787</v>
      </c>
      <c r="C372" s="147">
        <v>42004</v>
      </c>
      <c r="D372" s="145"/>
      <c r="E372" s="147"/>
      <c r="F372" s="178">
        <v>800321322</v>
      </c>
      <c r="G372" s="145" t="str">
        <f>IFERROR(VLOOKUP(F372,TERCEROS[],3,FALSE),"")</f>
        <v>NUESTRO ALMACEN S.A.S</v>
      </c>
      <c r="H372" s="145" t="s">
        <v>1831</v>
      </c>
      <c r="I372" s="145">
        <v>523530</v>
      </c>
      <c r="J372" s="145" t="s">
        <v>626</v>
      </c>
      <c r="K372" s="149"/>
      <c r="L372" s="149">
        <v>36000</v>
      </c>
      <c r="M372" s="24"/>
    </row>
    <row r="373" spans="1:13" x14ac:dyDescent="0.25">
      <c r="A373" s="145" t="s">
        <v>1553</v>
      </c>
      <c r="B373" s="146" t="s">
        <v>1787</v>
      </c>
      <c r="C373" s="147">
        <v>42004</v>
      </c>
      <c r="D373" s="145"/>
      <c r="E373" s="147"/>
      <c r="F373" s="178">
        <v>800321322</v>
      </c>
      <c r="G373" s="145" t="str">
        <f>IFERROR(VLOOKUP(F373,TERCEROS[],3,FALSE),"")</f>
        <v>NUESTRO ALMACEN S.A.S</v>
      </c>
      <c r="H373" s="145" t="s">
        <v>1831</v>
      </c>
      <c r="I373" s="145">
        <v>523560</v>
      </c>
      <c r="J373" s="145" t="s">
        <v>1233</v>
      </c>
      <c r="K373" s="149"/>
      <c r="L373" s="149">
        <v>646551.72413793113</v>
      </c>
      <c r="M373" s="24"/>
    </row>
    <row r="374" spans="1:13" x14ac:dyDescent="0.25">
      <c r="A374" s="145" t="s">
        <v>1553</v>
      </c>
      <c r="B374" s="146" t="s">
        <v>1787</v>
      </c>
      <c r="C374" s="147">
        <v>42004</v>
      </c>
      <c r="D374" s="145"/>
      <c r="E374" s="147"/>
      <c r="F374" s="178">
        <v>800321322</v>
      </c>
      <c r="G374" s="145" t="str">
        <f>IFERROR(VLOOKUP(F374,TERCEROS[],3,FALSE),"")</f>
        <v>NUESTRO ALMACEN S.A.S</v>
      </c>
      <c r="H374" s="145" t="s">
        <v>1831</v>
      </c>
      <c r="I374" s="145">
        <v>525015</v>
      </c>
      <c r="J374" s="145" t="s">
        <v>1212</v>
      </c>
      <c r="K374" s="149"/>
      <c r="L374" s="149">
        <v>145000</v>
      </c>
      <c r="M374" s="24"/>
    </row>
    <row r="375" spans="1:13" x14ac:dyDescent="0.25">
      <c r="A375" s="145" t="s">
        <v>1553</v>
      </c>
      <c r="B375" s="146" t="s">
        <v>1787</v>
      </c>
      <c r="C375" s="147">
        <v>42004</v>
      </c>
      <c r="D375" s="145"/>
      <c r="E375" s="147"/>
      <c r="F375" s="178">
        <v>800321322</v>
      </c>
      <c r="G375" s="145" t="str">
        <f>IFERROR(VLOOKUP(F375,TERCEROS[],3,FALSE),"")</f>
        <v>NUESTRO ALMACEN S.A.S</v>
      </c>
      <c r="H375" s="145" t="s">
        <v>1831</v>
      </c>
      <c r="I375" s="145">
        <v>529560</v>
      </c>
      <c r="J375" s="145" t="s">
        <v>1223</v>
      </c>
      <c r="K375" s="149"/>
      <c r="L375" s="149">
        <v>87760</v>
      </c>
      <c r="M375" s="24"/>
    </row>
    <row r="376" spans="1:13" x14ac:dyDescent="0.25">
      <c r="A376" s="145" t="s">
        <v>1553</v>
      </c>
      <c r="B376" s="146" t="s">
        <v>1787</v>
      </c>
      <c r="C376" s="147">
        <v>42004</v>
      </c>
      <c r="D376" s="145"/>
      <c r="E376" s="147"/>
      <c r="F376" s="178">
        <v>800321322</v>
      </c>
      <c r="G376" s="145" t="str">
        <f>IFERROR(VLOOKUP(F376,TERCEROS[],3,FALSE),"")</f>
        <v>NUESTRO ALMACEN S.A.S</v>
      </c>
      <c r="H376" s="145" t="s">
        <v>1831</v>
      </c>
      <c r="I376" s="145">
        <v>530505</v>
      </c>
      <c r="J376" s="145" t="s">
        <v>1087</v>
      </c>
      <c r="K376" s="149"/>
      <c r="L376" s="149">
        <v>89000</v>
      </c>
      <c r="M376" s="24"/>
    </row>
    <row r="377" spans="1:13" x14ac:dyDescent="0.25">
      <c r="A377" s="145" t="s">
        <v>1553</v>
      </c>
      <c r="B377" s="146" t="s">
        <v>1787</v>
      </c>
      <c r="C377" s="147">
        <v>42004</v>
      </c>
      <c r="D377" s="145"/>
      <c r="E377" s="147"/>
      <c r="F377" s="178">
        <v>800321322</v>
      </c>
      <c r="G377" s="145" t="str">
        <f>IFERROR(VLOOKUP(F377,TERCEROS[],3,FALSE),"")</f>
        <v>NUESTRO ALMACEN S.A.S</v>
      </c>
      <c r="H377" s="145" t="s">
        <v>1831</v>
      </c>
      <c r="I377" s="145">
        <v>530515</v>
      </c>
      <c r="J377" s="145" t="s">
        <v>169</v>
      </c>
      <c r="K377" s="149"/>
      <c r="L377" s="149">
        <v>9800</v>
      </c>
      <c r="M377" s="24"/>
    </row>
    <row r="378" spans="1:13" x14ac:dyDescent="0.25">
      <c r="A378" s="145" t="s">
        <v>1553</v>
      </c>
      <c r="B378" s="146" t="s">
        <v>1787</v>
      </c>
      <c r="C378" s="147">
        <v>42004</v>
      </c>
      <c r="D378" s="145"/>
      <c r="E378" s="147"/>
      <c r="F378" s="178">
        <v>800321322</v>
      </c>
      <c r="G378" s="145" t="str">
        <f>IFERROR(VLOOKUP(F378,TERCEROS[],3,FALSE),"")</f>
        <v>NUESTRO ALMACEN S.A.S</v>
      </c>
      <c r="H378" s="145" t="s">
        <v>1831</v>
      </c>
      <c r="I378" s="145">
        <v>530520</v>
      </c>
      <c r="J378" s="145" t="s">
        <v>168</v>
      </c>
      <c r="K378" s="149"/>
      <c r="L378" s="149">
        <v>124800</v>
      </c>
      <c r="M378" s="24"/>
    </row>
    <row r="379" spans="1:13" x14ac:dyDescent="0.25">
      <c r="A379" s="145" t="s">
        <v>1553</v>
      </c>
      <c r="B379" s="146" t="s">
        <v>1787</v>
      </c>
      <c r="C379" s="147">
        <v>42004</v>
      </c>
      <c r="D379" s="145"/>
      <c r="E379" s="147"/>
      <c r="F379" s="178">
        <v>800321322</v>
      </c>
      <c r="G379" s="145" t="str">
        <f>IFERROR(VLOOKUP(F379,TERCEROS[],3,FALSE),"")</f>
        <v>NUESTRO ALMACEN S.A.S</v>
      </c>
      <c r="H379" s="145" t="s">
        <v>1831</v>
      </c>
      <c r="I379" s="145">
        <v>530520</v>
      </c>
      <c r="J379" s="145" t="s">
        <v>168</v>
      </c>
      <c r="K379" s="149"/>
      <c r="L379" s="149">
        <v>343200</v>
      </c>
      <c r="M379" s="24"/>
    </row>
    <row r="380" spans="1:13" x14ac:dyDescent="0.25">
      <c r="A380" s="145" t="s">
        <v>1553</v>
      </c>
      <c r="B380" s="146" t="s">
        <v>1787</v>
      </c>
      <c r="C380" s="147">
        <v>42004</v>
      </c>
      <c r="D380" s="145"/>
      <c r="E380" s="147"/>
      <c r="F380" s="178">
        <v>800321322</v>
      </c>
      <c r="G380" s="145" t="str">
        <f>IFERROR(VLOOKUP(F380,TERCEROS[],3,FALSE),"")</f>
        <v>NUESTRO ALMACEN S.A.S</v>
      </c>
      <c r="H380" s="145" t="s">
        <v>1831</v>
      </c>
      <c r="I380" s="145">
        <v>530535</v>
      </c>
      <c r="J380" s="145" t="s">
        <v>1041</v>
      </c>
      <c r="K380" s="149"/>
      <c r="L380" s="149">
        <v>136483.75</v>
      </c>
      <c r="M380" s="24"/>
    </row>
    <row r="381" spans="1:13" x14ac:dyDescent="0.25">
      <c r="A381" s="145" t="s">
        <v>1553</v>
      </c>
      <c r="B381" s="146" t="s">
        <v>1787</v>
      </c>
      <c r="C381" s="147">
        <v>42004</v>
      </c>
      <c r="D381" s="145"/>
      <c r="E381" s="147"/>
      <c r="F381" s="178">
        <v>800321322</v>
      </c>
      <c r="G381" s="145" t="str">
        <f>IFERROR(VLOOKUP(F381,TERCEROS[],3,FALSE),"")</f>
        <v>NUESTRO ALMACEN S.A.S</v>
      </c>
      <c r="H381" s="145" t="s">
        <v>1831</v>
      </c>
      <c r="I381" s="145">
        <v>539595</v>
      </c>
      <c r="J381" s="145" t="s">
        <v>58</v>
      </c>
      <c r="K381" s="149"/>
      <c r="L381" s="149">
        <v>980000</v>
      </c>
      <c r="M381" s="24"/>
    </row>
    <row r="382" spans="1:13" x14ac:dyDescent="0.25">
      <c r="A382" s="145" t="s">
        <v>1553</v>
      </c>
      <c r="B382" s="146" t="s">
        <v>1787</v>
      </c>
      <c r="C382" s="147">
        <v>42004</v>
      </c>
      <c r="D382" s="145"/>
      <c r="E382" s="147"/>
      <c r="F382" s="178">
        <v>800321322</v>
      </c>
      <c r="G382" s="145" t="str">
        <f>IFERROR(VLOOKUP(F382,TERCEROS[],3,FALSE),"")</f>
        <v>NUESTRO ALMACEN S.A.S</v>
      </c>
      <c r="H382" s="145" t="s">
        <v>1831</v>
      </c>
      <c r="I382" s="145">
        <v>539595</v>
      </c>
      <c r="J382" s="145" t="s">
        <v>58</v>
      </c>
      <c r="K382" s="149"/>
      <c r="L382" s="149">
        <v>156800</v>
      </c>
      <c r="M382" s="24"/>
    </row>
    <row r="383" spans="1:13" x14ac:dyDescent="0.25">
      <c r="A383" s="145" t="s">
        <v>1553</v>
      </c>
      <c r="B383" s="146" t="s">
        <v>1787</v>
      </c>
      <c r="C383" s="147">
        <v>42004</v>
      </c>
      <c r="D383" s="145"/>
      <c r="E383" s="147"/>
      <c r="F383" s="178">
        <v>800321322</v>
      </c>
      <c r="G383" s="145" t="str">
        <f>IFERROR(VLOOKUP(F383,TERCEROS[],3,FALSE),"")</f>
        <v>NUESTRO ALMACEN S.A.S</v>
      </c>
      <c r="H383" s="145" t="s">
        <v>1831</v>
      </c>
      <c r="I383" s="145">
        <v>53959501</v>
      </c>
      <c r="J383" s="145" t="s">
        <v>1723</v>
      </c>
      <c r="K383" s="149"/>
      <c r="L383" s="149">
        <v>30</v>
      </c>
      <c r="M383" s="24"/>
    </row>
    <row r="384" spans="1:13" x14ac:dyDescent="0.25">
      <c r="A384" s="145" t="s">
        <v>1553</v>
      </c>
      <c r="B384" s="146" t="s">
        <v>1787</v>
      </c>
      <c r="C384" s="147">
        <v>42004</v>
      </c>
      <c r="D384" s="145"/>
      <c r="E384" s="147"/>
      <c r="F384" s="178">
        <v>800321322</v>
      </c>
      <c r="G384" s="145" t="str">
        <f>IFERROR(VLOOKUP(F384,TERCEROS[],3,FALSE),"")</f>
        <v>NUESTRO ALMACEN S.A.S</v>
      </c>
      <c r="H384" s="145" t="s">
        <v>1831</v>
      </c>
      <c r="I384" s="145">
        <v>53959501</v>
      </c>
      <c r="J384" s="145" t="s">
        <v>1723</v>
      </c>
      <c r="K384" s="149"/>
      <c r="L384" s="149">
        <v>15</v>
      </c>
      <c r="M384" s="24"/>
    </row>
    <row r="385" spans="1:13" x14ac:dyDescent="0.25">
      <c r="A385" s="145" t="s">
        <v>1553</v>
      </c>
      <c r="B385" s="146" t="s">
        <v>1787</v>
      </c>
      <c r="C385" s="147">
        <v>42004</v>
      </c>
      <c r="D385" s="145"/>
      <c r="E385" s="147"/>
      <c r="F385" s="178">
        <v>800321322</v>
      </c>
      <c r="G385" s="145" t="str">
        <f>IFERROR(VLOOKUP(F385,TERCEROS[],3,FALSE),"")</f>
        <v>NUESTRO ALMACEN S.A.S</v>
      </c>
      <c r="H385" s="145" t="s">
        <v>1831</v>
      </c>
      <c r="I385" s="145">
        <v>53959501</v>
      </c>
      <c r="J385" s="145" t="s">
        <v>1723</v>
      </c>
      <c r="K385" s="149"/>
      <c r="L385" s="149">
        <v>760</v>
      </c>
      <c r="M385" s="24"/>
    </row>
    <row r="386" spans="1:13" x14ac:dyDescent="0.25">
      <c r="A386" s="145" t="s">
        <v>1553</v>
      </c>
      <c r="B386" s="146" t="s">
        <v>1787</v>
      </c>
      <c r="C386" s="147">
        <v>42004</v>
      </c>
      <c r="D386" s="145"/>
      <c r="E386" s="147"/>
      <c r="F386" s="178">
        <v>800321322</v>
      </c>
      <c r="G386" s="145" t="str">
        <f>IFERROR(VLOOKUP(F386,TERCEROS[],3,FALSE),"")</f>
        <v>NUESTRO ALMACEN S.A.S</v>
      </c>
      <c r="H386" s="145" t="s">
        <v>1831</v>
      </c>
      <c r="I386" s="145">
        <v>53959501</v>
      </c>
      <c r="J386" s="145" t="s">
        <v>1723</v>
      </c>
      <c r="K386" s="149"/>
      <c r="L386" s="149">
        <v>366</v>
      </c>
      <c r="M386" s="24"/>
    </row>
    <row r="387" spans="1:13" x14ac:dyDescent="0.25">
      <c r="A387" s="145" t="s">
        <v>1553</v>
      </c>
      <c r="B387" s="146" t="s">
        <v>1787</v>
      </c>
      <c r="C387" s="147">
        <v>42004</v>
      </c>
      <c r="D387" s="145"/>
      <c r="E387" s="147"/>
      <c r="F387" s="178">
        <v>800321322</v>
      </c>
      <c r="G387" s="145" t="str">
        <f>IFERROR(VLOOKUP(F387,TERCEROS[],3,FALSE),"")</f>
        <v>NUESTRO ALMACEN S.A.S</v>
      </c>
      <c r="H387" s="145" t="s">
        <v>1831</v>
      </c>
      <c r="I387" s="145">
        <v>53959501</v>
      </c>
      <c r="J387" s="145" t="s">
        <v>1723</v>
      </c>
      <c r="K387" s="149"/>
      <c r="L387" s="149">
        <v>452</v>
      </c>
      <c r="M387" s="24"/>
    </row>
    <row r="388" spans="1:13" x14ac:dyDescent="0.25">
      <c r="A388" s="145" t="s">
        <v>1553</v>
      </c>
      <c r="B388" s="146" t="s">
        <v>1787</v>
      </c>
      <c r="C388" s="147">
        <v>42004</v>
      </c>
      <c r="D388" s="145"/>
      <c r="E388" s="147"/>
      <c r="F388" s="178">
        <v>800321322</v>
      </c>
      <c r="G388" s="145" t="str">
        <f>IFERROR(VLOOKUP(F388,TERCEROS[],3,FALSE),"")</f>
        <v>NUESTRO ALMACEN S.A.S</v>
      </c>
      <c r="H388" s="145" t="s">
        <v>1831</v>
      </c>
      <c r="I388" s="145">
        <v>61352401</v>
      </c>
      <c r="J388" s="145" t="s">
        <v>1541</v>
      </c>
      <c r="K388" s="149"/>
      <c r="L388" s="149">
        <v>150000</v>
      </c>
      <c r="M388" s="24"/>
    </row>
    <row r="389" spans="1:13" x14ac:dyDescent="0.25">
      <c r="A389" s="145" t="s">
        <v>1553</v>
      </c>
      <c r="B389" s="146" t="s">
        <v>1787</v>
      </c>
      <c r="C389" s="147">
        <v>42004</v>
      </c>
      <c r="D389" s="145"/>
      <c r="E389" s="147"/>
      <c r="F389" s="178">
        <v>800321322</v>
      </c>
      <c r="G389" s="145" t="str">
        <f>IFERROR(VLOOKUP(F389,TERCEROS[],3,FALSE),"")</f>
        <v>NUESTRO ALMACEN S.A.S</v>
      </c>
      <c r="H389" s="145" t="s">
        <v>1831</v>
      </c>
      <c r="I389" s="145">
        <v>61352401</v>
      </c>
      <c r="J389" s="145" t="s">
        <v>1541</v>
      </c>
      <c r="K389" s="149"/>
      <c r="L389" s="149">
        <v>700000</v>
      </c>
      <c r="M389" s="24"/>
    </row>
    <row r="390" spans="1:13" x14ac:dyDescent="0.25">
      <c r="A390" s="145" t="s">
        <v>1553</v>
      </c>
      <c r="B390" s="146" t="s">
        <v>1787</v>
      </c>
      <c r="C390" s="147">
        <v>42004</v>
      </c>
      <c r="D390" s="145"/>
      <c r="E390" s="147"/>
      <c r="F390" s="178">
        <v>800321322</v>
      </c>
      <c r="G390" s="145" t="str">
        <f>IFERROR(VLOOKUP(F390,TERCEROS[],3,FALSE),"")</f>
        <v>NUESTRO ALMACEN S.A.S</v>
      </c>
      <c r="H390" s="145" t="s">
        <v>1831</v>
      </c>
      <c r="I390" s="145">
        <v>61352401</v>
      </c>
      <c r="J390" s="145" t="s">
        <v>1541</v>
      </c>
      <c r="K390" s="149">
        <v>50000</v>
      </c>
      <c r="L390" s="149"/>
      <c r="M390" s="24"/>
    </row>
    <row r="391" spans="1:13" x14ac:dyDescent="0.25">
      <c r="A391" s="145" t="s">
        <v>1553</v>
      </c>
      <c r="B391" s="146" t="s">
        <v>1787</v>
      </c>
      <c r="C391" s="147">
        <v>42004</v>
      </c>
      <c r="D391" s="145"/>
      <c r="E391" s="147"/>
      <c r="F391" s="178">
        <v>800321322</v>
      </c>
      <c r="G391" s="145" t="str">
        <f>IFERROR(VLOOKUP(F391,TERCEROS[],3,FALSE),"")</f>
        <v>NUESTRO ALMACEN S.A.S</v>
      </c>
      <c r="H391" s="145" t="s">
        <v>1831</v>
      </c>
      <c r="I391" s="145">
        <v>61352402</v>
      </c>
      <c r="J391" s="145" t="s">
        <v>1542</v>
      </c>
      <c r="K391" s="149"/>
      <c r="L391" s="149">
        <v>728000</v>
      </c>
      <c r="M391" s="24">
        <f>SUM(L334:L393)-K390</f>
        <v>13956822.306734599</v>
      </c>
    </row>
    <row r="392" spans="1:13" x14ac:dyDescent="0.25">
      <c r="A392" s="145" t="s">
        <v>1553</v>
      </c>
      <c r="B392" s="146" t="s">
        <v>1787</v>
      </c>
      <c r="C392" s="147">
        <v>42004</v>
      </c>
      <c r="D392" s="145"/>
      <c r="E392" s="147"/>
      <c r="F392" s="178">
        <v>800321322</v>
      </c>
      <c r="G392" s="145" t="str">
        <f>IFERROR(VLOOKUP(F392,TERCEROS[],3,FALSE),"")</f>
        <v>NUESTRO ALMACEN S.A.S</v>
      </c>
      <c r="H392" s="145" t="s">
        <v>1831</v>
      </c>
      <c r="I392" s="145">
        <v>61352403</v>
      </c>
      <c r="J392" s="145" t="s">
        <v>1543</v>
      </c>
      <c r="K392" s="149"/>
      <c r="L392" s="149">
        <v>372000</v>
      </c>
      <c r="M392" s="24"/>
    </row>
    <row r="393" spans="1:13" x14ac:dyDescent="0.25">
      <c r="A393" s="145" t="s">
        <v>1553</v>
      </c>
      <c r="B393" s="146" t="s">
        <v>1787</v>
      </c>
      <c r="C393" s="147">
        <v>42004</v>
      </c>
      <c r="D393" s="145"/>
      <c r="E393" s="147"/>
      <c r="F393" s="178">
        <v>800321322</v>
      </c>
      <c r="G393" s="145" t="str">
        <f>IFERROR(VLOOKUP(F393,TERCEROS[],3,FALSE),"")</f>
        <v>NUESTRO ALMACEN S.A.S</v>
      </c>
      <c r="H393" s="145" t="s">
        <v>1831</v>
      </c>
      <c r="I393" s="145">
        <v>61352403</v>
      </c>
      <c r="J393" s="145" t="s">
        <v>1543</v>
      </c>
      <c r="K393" s="149"/>
      <c r="L393" s="149">
        <v>511500</v>
      </c>
      <c r="M393" s="24"/>
    </row>
    <row r="394" spans="1:13" x14ac:dyDescent="0.25">
      <c r="A394" s="145" t="s">
        <v>1553</v>
      </c>
      <c r="B394" s="146" t="s">
        <v>1787</v>
      </c>
      <c r="C394" s="147">
        <v>42004</v>
      </c>
      <c r="D394" s="145"/>
      <c r="E394" s="147"/>
      <c r="F394" s="178">
        <v>800321322</v>
      </c>
      <c r="G394" s="145" t="str">
        <f>IFERROR(VLOOKUP(F394,TERCEROS[],3,FALSE),"")</f>
        <v>NUESTRO ALMACEN S.A.S</v>
      </c>
      <c r="H394" s="145" t="s">
        <v>1831</v>
      </c>
      <c r="I394" s="252">
        <v>590505</v>
      </c>
      <c r="J394" s="252" t="str">
        <f t="shared" ref="J394:J401" si="45">IFERROR(VLOOKUP(I394,PUC,2,FALSE),"")</f>
        <v xml:space="preserve">GANANCIAS Y PERDIDAS </v>
      </c>
      <c r="K394" s="253">
        <v>13956822</v>
      </c>
      <c r="L394" s="149"/>
      <c r="M394" s="24"/>
    </row>
    <row r="395" spans="1:13" x14ac:dyDescent="0.25">
      <c r="A395" s="145" t="s">
        <v>1553</v>
      </c>
      <c r="B395" s="146" t="s">
        <v>1787</v>
      </c>
      <c r="C395" s="147">
        <v>42004</v>
      </c>
      <c r="D395" s="145"/>
      <c r="E395" s="147"/>
      <c r="F395" s="178">
        <v>800321322</v>
      </c>
      <c r="G395" s="145" t="str">
        <f>IFERROR(VLOOKUP(F395,TERCEROS[],3,FALSE),"")</f>
        <v>NUESTRO ALMACEN S.A.S</v>
      </c>
      <c r="H395" s="145" t="s">
        <v>1831</v>
      </c>
      <c r="I395" s="145">
        <v>361010</v>
      </c>
      <c r="J395" s="145" t="str">
        <f t="shared" si="45"/>
        <v xml:space="preserve">PERDIDA POR EXPOSICION A LA INFLACION </v>
      </c>
      <c r="K395" s="149">
        <v>8734993</v>
      </c>
      <c r="L395" s="149"/>
      <c r="M395" s="24"/>
    </row>
    <row r="396" spans="1:13" x14ac:dyDescent="0.25">
      <c r="A396" s="145" t="s">
        <v>1553</v>
      </c>
      <c r="B396" s="146" t="s">
        <v>1787</v>
      </c>
      <c r="C396" s="147">
        <v>42004</v>
      </c>
      <c r="D396" s="145"/>
      <c r="E396" s="147"/>
      <c r="F396" s="178">
        <v>800321322</v>
      </c>
      <c r="G396" s="145" t="str">
        <f>IFERROR(VLOOKUP(F396,TERCEROS[],3,FALSE),"")</f>
        <v>NUESTRO ALMACEN S.A.S</v>
      </c>
      <c r="H396" s="145" t="s">
        <v>1831</v>
      </c>
      <c r="I396" s="145">
        <v>590505</v>
      </c>
      <c r="J396" s="145" t="str">
        <f t="shared" si="45"/>
        <v xml:space="preserve">GANANCIAS Y PERDIDAS </v>
      </c>
      <c r="K396" s="149"/>
      <c r="L396" s="149">
        <v>8734993</v>
      </c>
      <c r="M396" s="24"/>
    </row>
    <row r="397" spans="1:13" x14ac:dyDescent="0.25">
      <c r="A397" s="22"/>
      <c r="B397" s="29"/>
      <c r="C397" s="144"/>
      <c r="D397" s="22"/>
      <c r="E397" s="22"/>
      <c r="F397" s="27"/>
      <c r="G397" s="22"/>
      <c r="H397" s="22"/>
      <c r="I397" s="22"/>
      <c r="J397" s="22" t="str">
        <f t="shared" si="45"/>
        <v/>
      </c>
      <c r="K397" s="24"/>
      <c r="L397" s="24"/>
      <c r="M397" s="24"/>
    </row>
    <row r="398" spans="1:13" x14ac:dyDescent="0.25">
      <c r="A398" s="22"/>
      <c r="B398" s="29"/>
      <c r="C398" s="144"/>
      <c r="D398" s="22"/>
      <c r="E398" s="22"/>
      <c r="F398" s="27"/>
      <c r="G398" s="22"/>
      <c r="H398" s="22"/>
      <c r="I398" s="22"/>
      <c r="J398" s="22" t="str">
        <f t="shared" si="45"/>
        <v/>
      </c>
      <c r="K398" s="24"/>
      <c r="L398" s="24"/>
      <c r="M398" s="24"/>
    </row>
    <row r="399" spans="1:13" x14ac:dyDescent="0.25">
      <c r="A399" s="22"/>
      <c r="B399" s="29"/>
      <c r="C399" s="144"/>
      <c r="D399" s="22"/>
      <c r="E399" s="22"/>
      <c r="F399" s="27"/>
      <c r="G399" s="22"/>
      <c r="H399" s="22"/>
      <c r="I399" s="22"/>
      <c r="J399" s="22" t="str">
        <f t="shared" si="45"/>
        <v/>
      </c>
      <c r="K399" s="24"/>
      <c r="L399" s="24"/>
      <c r="M399" s="24"/>
    </row>
    <row r="400" spans="1:13" x14ac:dyDescent="0.25">
      <c r="A400" s="22"/>
      <c r="B400" s="29"/>
      <c r="C400" s="144"/>
      <c r="D400" s="22"/>
      <c r="E400" s="22"/>
      <c r="F400" s="27"/>
      <c r="G400" s="22"/>
      <c r="H400" s="22"/>
      <c r="I400" s="22"/>
      <c r="J400" s="22" t="str">
        <f t="shared" si="45"/>
        <v/>
      </c>
      <c r="K400" s="24"/>
      <c r="L400" s="24"/>
      <c r="M400" s="24"/>
    </row>
    <row r="401" spans="1:13" x14ac:dyDescent="0.25">
      <c r="A401" s="22"/>
      <c r="B401" s="29"/>
      <c r="C401" s="144"/>
      <c r="D401" s="22"/>
      <c r="E401" s="22"/>
      <c r="F401" s="27"/>
      <c r="G401" s="22"/>
      <c r="H401" s="22"/>
      <c r="I401" s="22"/>
      <c r="J401" s="22" t="str">
        <f t="shared" si="45"/>
        <v/>
      </c>
      <c r="K401" s="24"/>
      <c r="L401" s="24"/>
      <c r="M401" s="24"/>
    </row>
    <row r="402" spans="1:13" x14ac:dyDescent="0.25">
      <c r="A402" s="22"/>
      <c r="B402" s="29"/>
      <c r="C402" s="144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4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4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4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4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4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4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4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4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4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4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4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4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4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4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4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4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4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4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4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4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4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4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4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4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4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4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4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4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4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4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4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4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4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4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4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4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4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4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4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4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4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4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4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4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4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4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4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4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4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4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4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4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4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4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4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96"/>
  <mergeCells count="2">
    <mergeCell ref="I1:J1"/>
    <mergeCell ref="I2:J2"/>
  </mergeCells>
  <dataValidations disablePrompts="1"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96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A39" sqref="A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5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5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5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5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59">
        <v>85365455</v>
      </c>
      <c r="B15" s="160">
        <v>4</v>
      </c>
      <c r="C15" s="160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1">
        <v>860222333</v>
      </c>
      <c r="B20" s="172">
        <v>5</v>
      </c>
      <c r="C20" s="172" t="s">
        <v>1671</v>
      </c>
      <c r="D20" s="172" t="s">
        <v>1552</v>
      </c>
    </row>
    <row r="21" spans="1:4" x14ac:dyDescent="0.25">
      <c r="A21" s="171">
        <v>800255397</v>
      </c>
      <c r="B21" s="172">
        <v>6</v>
      </c>
      <c r="C21" s="172" t="s">
        <v>1683</v>
      </c>
      <c r="D21" s="172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1">
        <v>45256257</v>
      </c>
      <c r="B30" s="181"/>
      <c r="C30" s="181" t="s">
        <v>1741</v>
      </c>
      <c r="D30" s="10" t="s">
        <v>1552</v>
      </c>
    </row>
    <row r="31" spans="1:4" x14ac:dyDescent="0.25">
      <c r="A31" s="182">
        <v>1019125245</v>
      </c>
      <c r="B31" s="183"/>
      <c r="C31" s="183" t="s">
        <v>1754</v>
      </c>
      <c r="D31" s="10" t="s">
        <v>1552</v>
      </c>
    </row>
    <row r="32" spans="1:4" x14ac:dyDescent="0.25">
      <c r="A32" s="182">
        <v>800222222</v>
      </c>
      <c r="B32" s="183">
        <v>5</v>
      </c>
      <c r="C32" s="183" t="s">
        <v>1757</v>
      </c>
      <c r="D32" s="10" t="s">
        <v>1552</v>
      </c>
    </row>
    <row r="33" spans="1:4" x14ac:dyDescent="0.25">
      <c r="A33" s="183">
        <v>800333333</v>
      </c>
      <c r="B33" s="183">
        <v>5</v>
      </c>
      <c r="C33" s="183" t="s">
        <v>1758</v>
      </c>
      <c r="D33" s="10" t="s">
        <v>1552</v>
      </c>
    </row>
    <row r="34" spans="1:4" x14ac:dyDescent="0.25">
      <c r="A34" s="183">
        <v>900444444</v>
      </c>
      <c r="B34" s="183">
        <v>5</v>
      </c>
      <c r="C34" s="183" t="s">
        <v>1761</v>
      </c>
      <c r="D34" s="10" t="s">
        <v>1552</v>
      </c>
    </row>
    <row r="35" spans="1:4" x14ac:dyDescent="0.25">
      <c r="A35" s="182">
        <v>900777777</v>
      </c>
      <c r="B35" s="183">
        <v>2</v>
      </c>
      <c r="C35" s="183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186">
        <v>888888888</v>
      </c>
      <c r="B40" s="186">
        <v>2</v>
      </c>
      <c r="C40" s="186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7" t="s">
        <v>10</v>
      </c>
      <c r="B1" s="198"/>
      <c r="C1" s="199"/>
    </row>
    <row r="2" spans="1:3" x14ac:dyDescent="0.25">
      <c r="A2" s="200"/>
      <c r="B2" s="201"/>
      <c r="C2" s="202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20" t="s">
        <v>1386</v>
      </c>
      <c r="B1" s="220"/>
      <c r="C1" s="220"/>
      <c r="D1" s="220"/>
      <c r="E1" s="220"/>
      <c r="F1" s="221" t="s">
        <v>1387</v>
      </c>
      <c r="G1" s="221"/>
      <c r="H1" s="221"/>
      <c r="I1" s="221" t="s">
        <v>1388</v>
      </c>
      <c r="J1" s="221"/>
      <c r="K1" s="220" t="s">
        <v>1389</v>
      </c>
      <c r="L1" s="220"/>
      <c r="M1" s="220"/>
    </row>
    <row r="2" spans="1:13" ht="15.75" thickBot="1" x14ac:dyDescent="0.3">
      <c r="A2" s="220"/>
      <c r="B2" s="220"/>
      <c r="C2" s="220"/>
      <c r="D2" s="220"/>
      <c r="E2" s="220"/>
      <c r="F2" s="221"/>
      <c r="G2" s="221"/>
      <c r="H2" s="221"/>
      <c r="I2" s="221"/>
      <c r="J2" s="221"/>
      <c r="K2" s="220"/>
      <c r="L2" s="220"/>
      <c r="M2" s="220"/>
    </row>
    <row r="3" spans="1:13" ht="15.75" thickBot="1" x14ac:dyDescent="0.3">
      <c r="A3" s="222" t="s">
        <v>1538</v>
      </c>
      <c r="B3" s="222"/>
      <c r="C3" s="222"/>
      <c r="D3" s="222"/>
      <c r="E3" s="222"/>
      <c r="F3" s="203">
        <v>8000</v>
      </c>
      <c r="G3" s="203"/>
      <c r="H3" s="203"/>
      <c r="I3" s="203">
        <v>10</v>
      </c>
      <c r="J3" s="203"/>
      <c r="K3" s="204" t="s">
        <v>1401</v>
      </c>
      <c r="L3" s="204"/>
      <c r="M3" s="204"/>
    </row>
    <row r="4" spans="1:13" ht="15.75" thickBot="1" x14ac:dyDescent="0.3">
      <c r="A4" s="222"/>
      <c r="B4" s="222"/>
      <c r="C4" s="222"/>
      <c r="D4" s="222"/>
      <c r="E4" s="222"/>
      <c r="F4" s="203"/>
      <c r="G4" s="203"/>
      <c r="H4" s="203"/>
      <c r="I4" s="203"/>
      <c r="J4" s="203"/>
      <c r="K4" s="204"/>
      <c r="L4" s="204"/>
      <c r="M4" s="204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5" t="s">
        <v>1382</v>
      </c>
      <c r="B6" s="207" t="s">
        <v>1390</v>
      </c>
      <c r="C6" s="209" t="s">
        <v>1391</v>
      </c>
      <c r="D6" s="210"/>
      <c r="E6" s="211" t="s">
        <v>1392</v>
      </c>
      <c r="F6" s="211"/>
      <c r="G6" s="212"/>
      <c r="H6" s="213" t="s">
        <v>1393</v>
      </c>
      <c r="I6" s="213"/>
      <c r="J6" s="213"/>
      <c r="K6" s="214" t="s">
        <v>1394</v>
      </c>
      <c r="L6" s="215"/>
      <c r="M6" s="216"/>
    </row>
    <row r="7" spans="1:13" ht="15.75" thickBot="1" x14ac:dyDescent="0.3">
      <c r="A7" s="206"/>
      <c r="B7" s="208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4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5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6"/>
      <c r="K8" s="127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8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7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8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7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8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7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8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7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29">
        <v>6</v>
      </c>
      <c r="B13" s="130">
        <v>41658</v>
      </c>
      <c r="C13" s="131" t="s">
        <v>1679</v>
      </c>
      <c r="D13" s="132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3">
        <f>+L11</f>
        <v>10000</v>
      </c>
      <c r="M13" s="50">
        <f t="shared" si="0"/>
        <v>130000</v>
      </c>
    </row>
    <row r="14" spans="1:13" x14ac:dyDescent="0.25">
      <c r="A14" s="129">
        <v>7</v>
      </c>
      <c r="B14" s="130">
        <v>41669</v>
      </c>
      <c r="C14" s="131" t="s">
        <v>1738</v>
      </c>
      <c r="D14" s="132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3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4"/>
      <c r="I15" s="65"/>
      <c r="J15" s="66"/>
      <c r="K15" s="134"/>
      <c r="L15" s="68"/>
      <c r="M15" s="66"/>
    </row>
    <row r="16" spans="1:13" ht="15.75" thickBot="1" x14ac:dyDescent="0.3">
      <c r="A16" s="69"/>
      <c r="B16" s="217" t="s">
        <v>1400</v>
      </c>
      <c r="C16" s="218"/>
      <c r="D16" s="21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5"/>
    </row>
    <row r="19" spans="1:13" ht="15.75" thickBot="1" x14ac:dyDescent="0.3"/>
    <row r="20" spans="1:13" ht="15.75" thickBot="1" x14ac:dyDescent="0.3">
      <c r="A20" s="220" t="s">
        <v>1386</v>
      </c>
      <c r="B20" s="220"/>
      <c r="C20" s="220"/>
      <c r="D20" s="220"/>
      <c r="E20" s="220"/>
      <c r="F20" s="221" t="s">
        <v>1387</v>
      </c>
      <c r="G20" s="221"/>
      <c r="H20" s="221"/>
      <c r="I20" s="221" t="s">
        <v>1388</v>
      </c>
      <c r="J20" s="221"/>
      <c r="K20" s="220" t="s">
        <v>1389</v>
      </c>
      <c r="L20" s="220"/>
      <c r="M20" s="220"/>
    </row>
    <row r="21" spans="1:13" ht="15.75" thickBot="1" x14ac:dyDescent="0.3">
      <c r="A21" s="220"/>
      <c r="B21" s="220"/>
      <c r="C21" s="220"/>
      <c r="D21" s="220"/>
      <c r="E21" s="220"/>
      <c r="F21" s="221"/>
      <c r="G21" s="221"/>
      <c r="H21" s="221"/>
      <c r="I21" s="221"/>
      <c r="J21" s="221"/>
      <c r="K21" s="220"/>
      <c r="L21" s="220"/>
      <c r="M21" s="220"/>
    </row>
    <row r="22" spans="1:13" ht="15.75" thickBot="1" x14ac:dyDescent="0.3">
      <c r="A22" s="222" t="s">
        <v>1539</v>
      </c>
      <c r="B22" s="222"/>
      <c r="C22" s="222"/>
      <c r="D22" s="222"/>
      <c r="E22" s="222"/>
      <c r="F22" s="203">
        <v>3000</v>
      </c>
      <c r="G22" s="203"/>
      <c r="H22" s="203"/>
      <c r="I22" s="203">
        <v>40</v>
      </c>
      <c r="J22" s="203"/>
      <c r="K22" s="204" t="s">
        <v>1401</v>
      </c>
      <c r="L22" s="204"/>
      <c r="M22" s="204"/>
    </row>
    <row r="23" spans="1:13" ht="15.75" thickBot="1" x14ac:dyDescent="0.3">
      <c r="A23" s="222"/>
      <c r="B23" s="222"/>
      <c r="C23" s="222"/>
      <c r="D23" s="222"/>
      <c r="E23" s="222"/>
      <c r="F23" s="203"/>
      <c r="G23" s="203"/>
      <c r="H23" s="203"/>
      <c r="I23" s="203"/>
      <c r="J23" s="203"/>
      <c r="K23" s="204"/>
      <c r="L23" s="204"/>
      <c r="M23" s="204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5" t="s">
        <v>1382</v>
      </c>
      <c r="B25" s="207" t="s">
        <v>1390</v>
      </c>
      <c r="C25" s="209" t="s">
        <v>1391</v>
      </c>
      <c r="D25" s="210"/>
      <c r="E25" s="211" t="s">
        <v>1392</v>
      </c>
      <c r="F25" s="211"/>
      <c r="G25" s="212"/>
      <c r="H25" s="213" t="s">
        <v>1393</v>
      </c>
      <c r="I25" s="213"/>
      <c r="J25" s="213"/>
      <c r="K25" s="214" t="s">
        <v>1394</v>
      </c>
      <c r="L25" s="215"/>
      <c r="M25" s="216"/>
    </row>
    <row r="26" spans="1:13" ht="15.75" thickBot="1" x14ac:dyDescent="0.3">
      <c r="A26" s="206"/>
      <c r="B26" s="208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4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5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6"/>
      <c r="K27" s="127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8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6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8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8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8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7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17" t="s">
        <v>1400</v>
      </c>
      <c r="C33" s="218"/>
      <c r="D33" s="21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8"/>
      <c r="L37" s="138"/>
    </row>
    <row r="38" spans="1:13" ht="15.75" thickBot="1" x14ac:dyDescent="0.3"/>
    <row r="39" spans="1:13" ht="15.75" thickBot="1" x14ac:dyDescent="0.3">
      <c r="A39" s="220" t="s">
        <v>1386</v>
      </c>
      <c r="B39" s="220"/>
      <c r="C39" s="220"/>
      <c r="D39" s="220"/>
      <c r="E39" s="220"/>
      <c r="F39" s="221" t="s">
        <v>1387</v>
      </c>
      <c r="G39" s="221"/>
      <c r="H39" s="221"/>
      <c r="I39" s="221" t="s">
        <v>1388</v>
      </c>
      <c r="J39" s="221"/>
      <c r="K39" s="220" t="s">
        <v>1389</v>
      </c>
      <c r="L39" s="220"/>
      <c r="M39" s="220"/>
    </row>
    <row r="40" spans="1:13" ht="15.75" thickBot="1" x14ac:dyDescent="0.3">
      <c r="A40" s="220"/>
      <c r="B40" s="220"/>
      <c r="C40" s="220"/>
      <c r="D40" s="220"/>
      <c r="E40" s="220"/>
      <c r="F40" s="221"/>
      <c r="G40" s="221"/>
      <c r="H40" s="221"/>
      <c r="I40" s="221"/>
      <c r="J40" s="221"/>
      <c r="K40" s="220"/>
      <c r="L40" s="220"/>
      <c r="M40" s="220"/>
    </row>
    <row r="41" spans="1:13" ht="15.75" thickBot="1" x14ac:dyDescent="0.3">
      <c r="A41" s="222" t="s">
        <v>1540</v>
      </c>
      <c r="B41" s="222"/>
      <c r="C41" s="222"/>
      <c r="D41" s="222"/>
      <c r="E41" s="222"/>
      <c r="F41" s="203">
        <v>3000</v>
      </c>
      <c r="G41" s="203"/>
      <c r="H41" s="203"/>
      <c r="I41" s="203">
        <v>40</v>
      </c>
      <c r="J41" s="203"/>
      <c r="K41" s="204" t="s">
        <v>1401</v>
      </c>
      <c r="L41" s="204"/>
      <c r="M41" s="204"/>
    </row>
    <row r="42" spans="1:13" ht="15.75" thickBot="1" x14ac:dyDescent="0.3">
      <c r="A42" s="222"/>
      <c r="B42" s="222"/>
      <c r="C42" s="222"/>
      <c r="D42" s="222"/>
      <c r="E42" s="222"/>
      <c r="F42" s="203"/>
      <c r="G42" s="203"/>
      <c r="H42" s="203"/>
      <c r="I42" s="203"/>
      <c r="J42" s="203"/>
      <c r="K42" s="204"/>
      <c r="L42" s="204"/>
      <c r="M42" s="204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5" t="s">
        <v>1382</v>
      </c>
      <c r="B44" s="207" t="s">
        <v>1390</v>
      </c>
      <c r="C44" s="209" t="s">
        <v>1391</v>
      </c>
      <c r="D44" s="210"/>
      <c r="E44" s="211" t="s">
        <v>1392</v>
      </c>
      <c r="F44" s="211"/>
      <c r="G44" s="212"/>
      <c r="H44" s="213" t="s">
        <v>1393</v>
      </c>
      <c r="I44" s="213"/>
      <c r="J44" s="213"/>
      <c r="K44" s="214" t="s">
        <v>1394</v>
      </c>
      <c r="L44" s="215"/>
      <c r="M44" s="216"/>
    </row>
    <row r="45" spans="1:13" ht="15.75" thickBot="1" x14ac:dyDescent="0.3">
      <c r="A45" s="206"/>
      <c r="B45" s="208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4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5">
        <v>41651</v>
      </c>
      <c r="C46" s="54" t="s">
        <v>1610</v>
      </c>
      <c r="D46" s="139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6"/>
      <c r="K46" s="127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8">
        <v>41653</v>
      </c>
      <c r="C47" s="54" t="s">
        <v>1646</v>
      </c>
      <c r="D47" s="140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7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8">
        <v>41661</v>
      </c>
      <c r="C48" s="54" t="s">
        <v>1646</v>
      </c>
      <c r="D48" s="140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7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8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7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8"/>
      <c r="C50" s="54"/>
      <c r="D50" s="55"/>
      <c r="E50" s="56"/>
      <c r="F50" s="49"/>
      <c r="G50" s="50"/>
      <c r="H50" s="56"/>
      <c r="I50" s="49"/>
      <c r="J50" s="50"/>
      <c r="K50" s="127"/>
      <c r="L50" s="58"/>
      <c r="M50" s="59"/>
    </row>
    <row r="51" spans="1:13" ht="15.75" thickBot="1" x14ac:dyDescent="0.3">
      <c r="A51" s="60">
        <v>6</v>
      </c>
      <c r="B51" s="137"/>
      <c r="C51" s="62"/>
      <c r="D51" s="63"/>
      <c r="E51" s="64"/>
      <c r="F51" s="65"/>
      <c r="G51" s="66"/>
      <c r="H51" s="64"/>
      <c r="I51" s="65"/>
      <c r="J51" s="66"/>
      <c r="K51" s="141"/>
      <c r="L51" s="68"/>
      <c r="M51" s="66"/>
    </row>
    <row r="52" spans="1:13" ht="15.75" thickBot="1" x14ac:dyDescent="0.3">
      <c r="A52" s="69"/>
      <c r="B52" s="217" t="s">
        <v>1400</v>
      </c>
      <c r="C52" s="218"/>
      <c r="D52" s="21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4" customWidth="1"/>
    <col min="4" max="4" width="72.5703125" style="114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2" t="s">
        <v>1531</v>
      </c>
      <c r="C3" s="118" t="s">
        <v>1532</v>
      </c>
      <c r="D3" s="118" t="s">
        <v>1533</v>
      </c>
      <c r="E3" s="119" t="s">
        <v>1534</v>
      </c>
      <c r="F3" s="119" t="s">
        <v>1535</v>
      </c>
      <c r="G3" s="120" t="s">
        <v>1536</v>
      </c>
      <c r="P3" s="229" t="s">
        <v>1537</v>
      </c>
      <c r="Q3" s="230"/>
      <c r="R3" s="231"/>
    </row>
    <row r="4" spans="1:18" ht="51.75" thickBot="1" x14ac:dyDescent="0.3">
      <c r="A4" s="121">
        <v>27485</v>
      </c>
      <c r="C4" s="235" t="s">
        <v>1523</v>
      </c>
      <c r="D4" s="115" t="s">
        <v>1471</v>
      </c>
      <c r="E4" s="117" t="s">
        <v>1431</v>
      </c>
      <c r="F4" s="117" t="s">
        <v>1432</v>
      </c>
      <c r="G4" s="116" t="s">
        <v>1433</v>
      </c>
      <c r="P4" s="232"/>
      <c r="Q4" s="233"/>
      <c r="R4" s="234"/>
    </row>
    <row r="5" spans="1:18" ht="39.75" customHeight="1" thickBot="1" x14ac:dyDescent="0.3">
      <c r="C5" s="236"/>
      <c r="D5" s="184" t="s">
        <v>1780</v>
      </c>
      <c r="E5" s="117" t="s">
        <v>1434</v>
      </c>
      <c r="F5" s="117" t="s">
        <v>1435</v>
      </c>
      <c r="G5" s="116" t="s">
        <v>1436</v>
      </c>
    </row>
    <row r="6" spans="1:18" ht="26.25" thickBot="1" x14ac:dyDescent="0.3">
      <c r="C6" s="237"/>
      <c r="D6" s="115" t="s">
        <v>1472</v>
      </c>
      <c r="E6" s="117" t="s">
        <v>1437</v>
      </c>
      <c r="F6" s="117" t="s">
        <v>1438</v>
      </c>
      <c r="G6" s="117" t="s">
        <v>1439</v>
      </c>
    </row>
    <row r="7" spans="1:18" ht="16.5" thickBot="1" x14ac:dyDescent="0.3">
      <c r="C7" s="223" t="s">
        <v>1524</v>
      </c>
      <c r="D7" s="115" t="s">
        <v>1473</v>
      </c>
      <c r="E7" s="117" t="s">
        <v>1440</v>
      </c>
      <c r="F7" s="117" t="s">
        <v>1441</v>
      </c>
      <c r="G7" s="117" t="s">
        <v>1442</v>
      </c>
    </row>
    <row r="8" spans="1:18" ht="15.75" customHeight="1" thickBot="1" x14ac:dyDescent="0.3">
      <c r="C8" s="224"/>
      <c r="D8" s="115" t="s">
        <v>1474</v>
      </c>
      <c r="E8" s="117" t="s">
        <v>1440</v>
      </c>
      <c r="F8" s="117" t="s">
        <v>1441</v>
      </c>
      <c r="G8" s="117" t="s">
        <v>1443</v>
      </c>
    </row>
    <row r="9" spans="1:18" ht="16.5" thickBot="1" x14ac:dyDescent="0.3">
      <c r="C9" s="224"/>
      <c r="D9" s="115" t="s">
        <v>1475</v>
      </c>
      <c r="E9" s="117" t="s">
        <v>1437</v>
      </c>
      <c r="F9" s="117" t="s">
        <v>1438</v>
      </c>
      <c r="G9" s="117" t="s">
        <v>1444</v>
      </c>
    </row>
    <row r="10" spans="1:18" ht="30.75" customHeight="1" thickBot="1" x14ac:dyDescent="0.3">
      <c r="C10" s="224"/>
      <c r="D10" s="115" t="s">
        <v>1476</v>
      </c>
      <c r="E10" s="117" t="s">
        <v>1437</v>
      </c>
      <c r="F10" s="116" t="s">
        <v>1445</v>
      </c>
      <c r="G10" s="117" t="s">
        <v>1444</v>
      </c>
    </row>
    <row r="11" spans="1:18" ht="25.5" customHeight="1" thickBot="1" x14ac:dyDescent="0.3">
      <c r="C11" s="224"/>
      <c r="D11" s="115" t="s">
        <v>1477</v>
      </c>
      <c r="E11" s="117" t="s">
        <v>1446</v>
      </c>
      <c r="F11" s="117" t="s">
        <v>1447</v>
      </c>
      <c r="G11" s="117" t="s">
        <v>1442</v>
      </c>
    </row>
    <row r="12" spans="1:18" ht="15.75" customHeight="1" thickBot="1" x14ac:dyDescent="0.3">
      <c r="C12" s="224"/>
      <c r="D12" s="115" t="s">
        <v>1478</v>
      </c>
      <c r="E12" s="117" t="s">
        <v>1437</v>
      </c>
      <c r="F12" s="117" t="s">
        <v>1438</v>
      </c>
      <c r="G12" s="117" t="s">
        <v>1442</v>
      </c>
    </row>
    <row r="13" spans="1:18" ht="30.75" customHeight="1" thickBot="1" x14ac:dyDescent="0.3">
      <c r="C13" s="224"/>
      <c r="D13" s="115" t="s">
        <v>1479</v>
      </c>
      <c r="E13" s="117" t="s">
        <v>1448</v>
      </c>
      <c r="F13" s="117" t="s">
        <v>1449</v>
      </c>
      <c r="G13" s="117" t="s">
        <v>1450</v>
      </c>
    </row>
    <row r="14" spans="1:18" ht="16.5" thickBot="1" x14ac:dyDescent="0.3">
      <c r="C14" s="224"/>
      <c r="D14" s="115" t="s">
        <v>1480</v>
      </c>
      <c r="E14" s="117" t="s">
        <v>1451</v>
      </c>
      <c r="F14" s="117" t="s">
        <v>1452</v>
      </c>
      <c r="G14" s="117" t="s">
        <v>1453</v>
      </c>
    </row>
    <row r="15" spans="1:18" ht="16.5" thickBot="1" x14ac:dyDescent="0.3">
      <c r="C15" s="225"/>
      <c r="D15" s="115" t="s">
        <v>1481</v>
      </c>
      <c r="E15" s="117" t="s">
        <v>1437</v>
      </c>
      <c r="F15" s="117" t="s">
        <v>1438</v>
      </c>
      <c r="G15" s="117" t="s">
        <v>1454</v>
      </c>
    </row>
    <row r="16" spans="1:18" ht="16.5" thickBot="1" x14ac:dyDescent="0.3">
      <c r="C16" s="223" t="s">
        <v>1525</v>
      </c>
      <c r="D16" s="115" t="s">
        <v>1482</v>
      </c>
      <c r="E16" s="117" t="s">
        <v>1455</v>
      </c>
      <c r="F16" s="117" t="s">
        <v>1456</v>
      </c>
      <c r="G16" s="117" t="s">
        <v>1457</v>
      </c>
    </row>
    <row r="17" spans="3:7" ht="16.5" thickBot="1" x14ac:dyDescent="0.3">
      <c r="C17" s="224"/>
      <c r="D17" s="115" t="s">
        <v>1483</v>
      </c>
      <c r="E17" s="117" t="s">
        <v>1455</v>
      </c>
      <c r="F17" s="117" t="s">
        <v>1456</v>
      </c>
      <c r="G17" s="117" t="s">
        <v>1458</v>
      </c>
    </row>
    <row r="18" spans="3:7" ht="16.5" thickBot="1" x14ac:dyDescent="0.3">
      <c r="C18" s="224"/>
      <c r="D18" s="115" t="s">
        <v>1484</v>
      </c>
      <c r="E18" s="117" t="s">
        <v>1455</v>
      </c>
      <c r="F18" s="117" t="s">
        <v>1456</v>
      </c>
      <c r="G18" s="117" t="s">
        <v>1459</v>
      </c>
    </row>
    <row r="19" spans="3:7" ht="16.5" thickBot="1" x14ac:dyDescent="0.3">
      <c r="C19" s="224"/>
      <c r="D19" s="115" t="s">
        <v>1485</v>
      </c>
      <c r="E19" s="117" t="s">
        <v>1455</v>
      </c>
      <c r="F19" s="117" t="s">
        <v>1456</v>
      </c>
      <c r="G19" s="117" t="s">
        <v>1460</v>
      </c>
    </row>
    <row r="20" spans="3:7" ht="16.5" thickBot="1" x14ac:dyDescent="0.3">
      <c r="C20" s="224"/>
      <c r="D20" s="115" t="s">
        <v>1486</v>
      </c>
      <c r="E20" s="117" t="s">
        <v>1455</v>
      </c>
      <c r="F20" s="117" t="s">
        <v>1456</v>
      </c>
      <c r="G20" s="117" t="s">
        <v>1460</v>
      </c>
    </row>
    <row r="21" spans="3:7" ht="16.5" thickBot="1" x14ac:dyDescent="0.3">
      <c r="C21" s="224"/>
      <c r="D21" s="115" t="s">
        <v>1487</v>
      </c>
      <c r="E21" s="117" t="s">
        <v>1455</v>
      </c>
      <c r="F21" s="117" t="s">
        <v>1456</v>
      </c>
      <c r="G21" s="117" t="s">
        <v>1442</v>
      </c>
    </row>
    <row r="22" spans="3:7" ht="16.5" thickBot="1" x14ac:dyDescent="0.3">
      <c r="C22" s="224"/>
      <c r="D22" s="115" t="s">
        <v>1488</v>
      </c>
      <c r="E22" s="117" t="s">
        <v>1455</v>
      </c>
      <c r="F22" s="117" t="s">
        <v>1456</v>
      </c>
      <c r="G22" s="117" t="s">
        <v>1443</v>
      </c>
    </row>
    <row r="23" spans="3:7" ht="16.5" thickBot="1" x14ac:dyDescent="0.3">
      <c r="C23" s="224"/>
      <c r="D23" s="115" t="s">
        <v>1489</v>
      </c>
      <c r="E23" s="117" t="s">
        <v>1455</v>
      </c>
      <c r="F23" s="117" t="s">
        <v>1456</v>
      </c>
      <c r="G23" s="117" t="s">
        <v>1459</v>
      </c>
    </row>
    <row r="24" spans="3:7" ht="16.5" thickBot="1" x14ac:dyDescent="0.3">
      <c r="C24" s="224"/>
      <c r="D24" s="115" t="s">
        <v>1490</v>
      </c>
      <c r="E24" s="117" t="s">
        <v>1440</v>
      </c>
      <c r="F24" s="117" t="s">
        <v>1441</v>
      </c>
      <c r="G24" s="117" t="s">
        <v>1442</v>
      </c>
    </row>
    <row r="25" spans="3:7" ht="16.5" thickBot="1" x14ac:dyDescent="0.3">
      <c r="C25" s="224"/>
      <c r="D25" s="115" t="s">
        <v>1491</v>
      </c>
      <c r="E25" s="117" t="s">
        <v>1440</v>
      </c>
      <c r="F25" s="117" t="s">
        <v>1441</v>
      </c>
      <c r="G25" s="117" t="s">
        <v>1443</v>
      </c>
    </row>
    <row r="26" spans="3:7" ht="16.5" thickBot="1" x14ac:dyDescent="0.3">
      <c r="C26" s="224"/>
      <c r="D26" s="115" t="s">
        <v>1492</v>
      </c>
      <c r="E26" s="117" t="s">
        <v>1455</v>
      </c>
      <c r="F26" s="117" t="s">
        <v>1456</v>
      </c>
      <c r="G26" s="117" t="s">
        <v>1459</v>
      </c>
    </row>
    <row r="27" spans="3:7" ht="16.5" thickBot="1" x14ac:dyDescent="0.3">
      <c r="C27" s="224"/>
      <c r="D27" s="115" t="s">
        <v>1493</v>
      </c>
      <c r="E27" s="117" t="s">
        <v>1455</v>
      </c>
      <c r="F27" s="117" t="s">
        <v>1456</v>
      </c>
      <c r="G27" s="117" t="s">
        <v>1459</v>
      </c>
    </row>
    <row r="28" spans="3:7" ht="16.5" thickBot="1" x14ac:dyDescent="0.3">
      <c r="C28" s="225"/>
      <c r="D28" s="115" t="s">
        <v>1494</v>
      </c>
      <c r="E28" s="117" t="s">
        <v>1440</v>
      </c>
      <c r="F28" s="117" t="s">
        <v>1441</v>
      </c>
      <c r="G28" s="117" t="s">
        <v>1442</v>
      </c>
    </row>
    <row r="29" spans="3:7" ht="16.5" thickBot="1" x14ac:dyDescent="0.3">
      <c r="C29" s="223" t="s">
        <v>1526</v>
      </c>
      <c r="D29" s="115" t="s">
        <v>1495</v>
      </c>
      <c r="E29" s="117" t="s">
        <v>1437</v>
      </c>
      <c r="F29" s="117" t="s">
        <v>1438</v>
      </c>
      <c r="G29" s="117" t="s">
        <v>1457</v>
      </c>
    </row>
    <row r="30" spans="3:7" ht="16.5" thickBot="1" x14ac:dyDescent="0.3">
      <c r="C30" s="224"/>
      <c r="D30" s="115" t="s">
        <v>1496</v>
      </c>
      <c r="E30" s="117" t="s">
        <v>1440</v>
      </c>
      <c r="F30" s="117" t="s">
        <v>1441</v>
      </c>
      <c r="G30" s="117" t="s">
        <v>1442</v>
      </c>
    </row>
    <row r="31" spans="3:7" ht="16.5" thickBot="1" x14ac:dyDescent="0.3">
      <c r="C31" s="225"/>
      <c r="D31" s="115" t="s">
        <v>1497</v>
      </c>
      <c r="E31" s="117" t="s">
        <v>1440</v>
      </c>
      <c r="F31" s="117" t="s">
        <v>1441</v>
      </c>
      <c r="G31" s="117" t="s">
        <v>1443</v>
      </c>
    </row>
    <row r="32" spans="3:7" ht="26.25" thickBot="1" x14ac:dyDescent="0.3">
      <c r="C32" s="223" t="s">
        <v>1527</v>
      </c>
      <c r="D32" s="115" t="s">
        <v>1498</v>
      </c>
      <c r="E32" s="117" t="s">
        <v>1437</v>
      </c>
      <c r="F32" s="117" t="s">
        <v>1438</v>
      </c>
      <c r="G32" s="117" t="s">
        <v>1461</v>
      </c>
    </row>
    <row r="33" spans="3:7" ht="26.25" thickBot="1" x14ac:dyDescent="0.3">
      <c r="C33" s="224"/>
      <c r="D33" s="115" t="s">
        <v>1499</v>
      </c>
      <c r="E33" s="117" t="s">
        <v>1437</v>
      </c>
      <c r="F33" s="117" t="s">
        <v>1438</v>
      </c>
      <c r="G33" s="117" t="s">
        <v>1462</v>
      </c>
    </row>
    <row r="34" spans="3:7" ht="26.25" thickBot="1" x14ac:dyDescent="0.3">
      <c r="C34" s="224"/>
      <c r="D34" s="115" t="s">
        <v>1500</v>
      </c>
      <c r="E34" s="117" t="s">
        <v>1437</v>
      </c>
      <c r="F34" s="117" t="s">
        <v>1438</v>
      </c>
      <c r="G34" s="117" t="s">
        <v>1458</v>
      </c>
    </row>
    <row r="35" spans="3:7" ht="39" thickBot="1" x14ac:dyDescent="0.3">
      <c r="C35" s="224"/>
      <c r="D35" s="115" t="s">
        <v>1501</v>
      </c>
      <c r="E35" s="117" t="s">
        <v>1437</v>
      </c>
      <c r="F35" s="117" t="s">
        <v>1438</v>
      </c>
      <c r="G35" s="117" t="s">
        <v>1462</v>
      </c>
    </row>
    <row r="36" spans="3:7" ht="51.75" thickBot="1" x14ac:dyDescent="0.3">
      <c r="C36" s="224"/>
      <c r="D36" s="115" t="s">
        <v>1502</v>
      </c>
      <c r="E36" s="117" t="s">
        <v>1437</v>
      </c>
      <c r="F36" s="117" t="s">
        <v>1438</v>
      </c>
      <c r="G36" s="117" t="s">
        <v>1458</v>
      </c>
    </row>
    <row r="37" spans="3:7" ht="26.25" thickBot="1" x14ac:dyDescent="0.3">
      <c r="C37" s="225"/>
      <c r="D37" s="115" t="s">
        <v>1503</v>
      </c>
      <c r="E37" s="117" t="s">
        <v>1440</v>
      </c>
      <c r="F37" s="117" t="s">
        <v>1441</v>
      </c>
      <c r="G37" s="117" t="s">
        <v>1460</v>
      </c>
    </row>
    <row r="38" spans="3:7" ht="15.75" customHeight="1" thickBot="1" x14ac:dyDescent="0.3">
      <c r="C38" s="226" t="s">
        <v>1528</v>
      </c>
      <c r="D38" s="115" t="s">
        <v>1504</v>
      </c>
      <c r="E38" s="117" t="s">
        <v>1437</v>
      </c>
      <c r="F38" s="117" t="s">
        <v>1438</v>
      </c>
      <c r="G38" s="117" t="s">
        <v>1461</v>
      </c>
    </row>
    <row r="39" spans="3:7" ht="16.5" thickBot="1" x14ac:dyDescent="0.3">
      <c r="C39" s="227"/>
      <c r="D39" s="115" t="s">
        <v>1505</v>
      </c>
      <c r="E39" s="117" t="s">
        <v>1437</v>
      </c>
      <c r="F39" s="117" t="s">
        <v>1438</v>
      </c>
      <c r="G39" s="117" t="s">
        <v>1462</v>
      </c>
    </row>
    <row r="40" spans="3:7" ht="25.5" customHeight="1" thickBot="1" x14ac:dyDescent="0.3">
      <c r="C40" s="227"/>
      <c r="D40" s="115" t="s">
        <v>1506</v>
      </c>
      <c r="E40" s="117" t="s">
        <v>1437</v>
      </c>
      <c r="F40" s="117" t="s">
        <v>1438</v>
      </c>
      <c r="G40" s="117" t="s">
        <v>1443</v>
      </c>
    </row>
    <row r="41" spans="3:7" ht="50.25" customHeight="1" thickBot="1" x14ac:dyDescent="0.3">
      <c r="C41" s="227"/>
      <c r="D41" s="115" t="s">
        <v>1507</v>
      </c>
      <c r="E41" s="117" t="s">
        <v>1437</v>
      </c>
      <c r="F41" s="117" t="s">
        <v>1438</v>
      </c>
      <c r="G41" s="117" t="s">
        <v>1443</v>
      </c>
    </row>
    <row r="42" spans="3:7" ht="16.5" thickBot="1" x14ac:dyDescent="0.3">
      <c r="C42" s="227"/>
      <c r="D42" s="115" t="s">
        <v>1508</v>
      </c>
      <c r="E42" s="117" t="s">
        <v>1437</v>
      </c>
      <c r="F42" s="117" t="s">
        <v>1438</v>
      </c>
      <c r="G42" s="117" t="s">
        <v>1463</v>
      </c>
    </row>
    <row r="43" spans="3:7" ht="16.5" thickBot="1" x14ac:dyDescent="0.3">
      <c r="C43" s="227"/>
      <c r="D43" s="115" t="s">
        <v>1509</v>
      </c>
      <c r="E43" s="117" t="s">
        <v>1437</v>
      </c>
      <c r="F43" s="117" t="s">
        <v>1438</v>
      </c>
      <c r="G43" s="117" t="s">
        <v>1457</v>
      </c>
    </row>
    <row r="44" spans="3:7" ht="16.5" thickBot="1" x14ac:dyDescent="0.3">
      <c r="C44" s="227"/>
      <c r="D44" s="115" t="s">
        <v>1510</v>
      </c>
      <c r="E44" s="117" t="s">
        <v>1464</v>
      </c>
      <c r="F44" s="117" t="s">
        <v>1465</v>
      </c>
      <c r="G44" s="117" t="s">
        <v>1439</v>
      </c>
    </row>
    <row r="45" spans="3:7" ht="16.5" thickBot="1" x14ac:dyDescent="0.3">
      <c r="C45" s="227"/>
      <c r="D45" s="115" t="s">
        <v>1511</v>
      </c>
      <c r="E45" s="117" t="s">
        <v>1437</v>
      </c>
      <c r="F45" s="117" t="s">
        <v>1438</v>
      </c>
      <c r="G45" s="117" t="s">
        <v>1459</v>
      </c>
    </row>
    <row r="46" spans="3:7" ht="16.5" thickBot="1" x14ac:dyDescent="0.3">
      <c r="C46" s="227"/>
      <c r="D46" s="115" t="s">
        <v>1512</v>
      </c>
      <c r="E46" s="117" t="s">
        <v>1437</v>
      </c>
      <c r="F46" s="117" t="s">
        <v>1438</v>
      </c>
      <c r="G46" s="117" t="s">
        <v>1450</v>
      </c>
    </row>
    <row r="47" spans="3:7" ht="17.25" customHeight="1" thickBot="1" x14ac:dyDescent="0.3">
      <c r="C47" s="227"/>
      <c r="D47" s="115" t="s">
        <v>1513</v>
      </c>
      <c r="E47" s="117" t="s">
        <v>1440</v>
      </c>
      <c r="F47" s="117" t="s">
        <v>1441</v>
      </c>
      <c r="G47" s="117" t="s">
        <v>1457</v>
      </c>
    </row>
    <row r="48" spans="3:7" ht="17.25" customHeight="1" thickBot="1" x14ac:dyDescent="0.3">
      <c r="C48" s="227"/>
      <c r="D48" s="115" t="s">
        <v>1514</v>
      </c>
      <c r="E48" s="117" t="s">
        <v>1440</v>
      </c>
      <c r="F48" s="117" t="s">
        <v>1441</v>
      </c>
      <c r="G48" s="117" t="s">
        <v>1443</v>
      </c>
    </row>
    <row r="49" spans="3:7" ht="16.5" thickBot="1" x14ac:dyDescent="0.3">
      <c r="C49" s="228"/>
      <c r="D49" s="115" t="s">
        <v>1515</v>
      </c>
      <c r="E49" s="117" t="s">
        <v>1437</v>
      </c>
      <c r="F49" s="117" t="s">
        <v>1438</v>
      </c>
      <c r="G49" s="117" t="s">
        <v>1466</v>
      </c>
    </row>
    <row r="50" spans="3:7" ht="15.75" customHeight="1" thickBot="1" x14ac:dyDescent="0.3">
      <c r="C50" s="226" t="s">
        <v>1529</v>
      </c>
      <c r="D50" s="115" t="s">
        <v>1516</v>
      </c>
      <c r="E50" s="117" t="s">
        <v>1440</v>
      </c>
      <c r="F50" s="117" t="s">
        <v>1441</v>
      </c>
      <c r="G50" s="117" t="s">
        <v>1467</v>
      </c>
    </row>
    <row r="51" spans="3:7" ht="16.5" thickBot="1" x14ac:dyDescent="0.3">
      <c r="C51" s="227"/>
      <c r="D51" s="115" t="s">
        <v>1517</v>
      </c>
      <c r="E51" s="117" t="s">
        <v>1455</v>
      </c>
      <c r="F51" s="117" t="s">
        <v>1456</v>
      </c>
      <c r="G51" s="117" t="s">
        <v>1467</v>
      </c>
    </row>
    <row r="52" spans="3:7" ht="16.5" thickBot="1" x14ac:dyDescent="0.3">
      <c r="C52" s="228"/>
      <c r="D52" s="115" t="s">
        <v>1518</v>
      </c>
      <c r="E52" s="117" t="s">
        <v>1437</v>
      </c>
      <c r="F52" s="117" t="s">
        <v>1438</v>
      </c>
      <c r="G52" s="117" t="s">
        <v>1467</v>
      </c>
    </row>
    <row r="53" spans="3:7" ht="15.75" customHeight="1" thickBot="1" x14ac:dyDescent="0.3">
      <c r="C53" s="223" t="s">
        <v>1530</v>
      </c>
      <c r="D53" s="115" t="s">
        <v>1519</v>
      </c>
      <c r="E53" s="117" t="s">
        <v>1437</v>
      </c>
      <c r="F53" s="117" t="s">
        <v>1438</v>
      </c>
      <c r="G53" s="117" t="s">
        <v>1468</v>
      </c>
    </row>
    <row r="54" spans="3:7" ht="26.25" thickBot="1" x14ac:dyDescent="0.3">
      <c r="C54" s="224"/>
      <c r="D54" s="115" t="s">
        <v>1520</v>
      </c>
      <c r="E54" s="117" t="s">
        <v>1437</v>
      </c>
      <c r="F54" s="117" t="s">
        <v>1438</v>
      </c>
      <c r="G54" s="117" t="s">
        <v>1469</v>
      </c>
    </row>
    <row r="55" spans="3:7" ht="25.5" customHeight="1" thickBot="1" x14ac:dyDescent="0.3">
      <c r="C55" s="224"/>
      <c r="D55" s="115" t="s">
        <v>1521</v>
      </c>
      <c r="E55" s="117" t="s">
        <v>1437</v>
      </c>
      <c r="F55" s="117" t="s">
        <v>1438</v>
      </c>
      <c r="G55" s="117" t="s">
        <v>1462</v>
      </c>
    </row>
    <row r="56" spans="3:7" ht="90.75" customHeight="1" thickBot="1" x14ac:dyDescent="0.3">
      <c r="C56" s="225"/>
      <c r="D56" s="115" t="s">
        <v>1522</v>
      </c>
      <c r="E56" s="117" t="s">
        <v>1437</v>
      </c>
      <c r="F56" s="117" t="s">
        <v>1438</v>
      </c>
      <c r="G56" s="117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A6" sqref="A6"/>
    </sheetView>
  </sheetViews>
  <sheetFormatPr baseColWidth="10" defaultRowHeight="15" x14ac:dyDescent="0.25"/>
  <cols>
    <col min="1" max="1" width="12" customWidth="1"/>
    <col min="2" max="2" width="16.7109375" customWidth="1"/>
    <col min="3" max="3" width="10" style="189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8" t="s">
        <v>1412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0"/>
    </row>
    <row r="2" spans="1:17" x14ac:dyDescent="0.25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90" t="s">
        <v>1408</v>
      </c>
    </row>
    <row r="3" spans="1:17" x14ac:dyDescent="0.25">
      <c r="A3" s="95">
        <v>999666777</v>
      </c>
      <c r="B3" s="95" t="str">
        <f>IFERROR(VLOOKUP(A3,TERCEROS[],3,FALSE),"")</f>
        <v>EL VESTIDOR S.A.S.</v>
      </c>
      <c r="C3" s="187">
        <v>2</v>
      </c>
      <c r="D3" s="24">
        <f>70*18500</f>
        <v>1295000</v>
      </c>
      <c r="E3" s="24">
        <f>+D3*0.16</f>
        <v>207200</v>
      </c>
      <c r="F3" s="24">
        <f>+D3*2.5/100</f>
        <v>32375</v>
      </c>
      <c r="G3" s="24"/>
      <c r="H3" s="24"/>
      <c r="I3" s="24">
        <f>+D3+E3-F3</f>
        <v>1469825</v>
      </c>
      <c r="J3" s="158">
        <v>41652</v>
      </c>
      <c r="K3" s="158">
        <f>+J3+30</f>
        <v>41682</v>
      </c>
      <c r="L3" s="191"/>
      <c r="M3" s="95"/>
      <c r="N3" s="24">
        <f>+I3</f>
        <v>1469825</v>
      </c>
      <c r="O3" s="95"/>
      <c r="P3" s="95"/>
      <c r="Q3" s="95" t="s">
        <v>1648</v>
      </c>
    </row>
    <row r="4" spans="1:17" x14ac:dyDescent="0.25">
      <c r="A4" s="24">
        <v>860524608</v>
      </c>
      <c r="B4" s="95" t="str">
        <f>IFERROR(VLOOKUP(A4,TERCEROS[],3,FALSE),"")</f>
        <v>ALMACEN TORONTO</v>
      </c>
      <c r="C4" s="187">
        <v>3</v>
      </c>
      <c r="D4" s="24">
        <f>80*9850</f>
        <v>788000</v>
      </c>
      <c r="E4" s="24">
        <f>+D4*16/100</f>
        <v>126080</v>
      </c>
      <c r="F4" s="24">
        <f>+D4*2.5/100</f>
        <v>19700</v>
      </c>
      <c r="G4" s="24"/>
      <c r="H4" s="24"/>
      <c r="I4" s="24">
        <f>+D4+E4-F4</f>
        <v>894380</v>
      </c>
      <c r="J4" s="158">
        <v>41653</v>
      </c>
      <c r="K4" s="158">
        <f>+J4+30</f>
        <v>41683</v>
      </c>
      <c r="L4" s="95"/>
      <c r="M4" s="95"/>
      <c r="N4" s="24">
        <f>+I4</f>
        <v>894380</v>
      </c>
      <c r="O4" s="95"/>
      <c r="P4" s="95"/>
      <c r="Q4" s="95"/>
    </row>
    <row r="5" spans="1:17" x14ac:dyDescent="0.25">
      <c r="A5" s="95">
        <v>999666777</v>
      </c>
      <c r="B5" s="95" t="str">
        <f>IFERROR(VLOOKUP(A5,TERCEROS[],3,FALSE),"")</f>
        <v>EL VESTIDOR S.A.S.</v>
      </c>
      <c r="C5" s="187">
        <v>2</v>
      </c>
      <c r="D5" s="24">
        <f>-5*18500</f>
        <v>-92500</v>
      </c>
      <c r="E5" s="24">
        <f>+D5*0.16</f>
        <v>-14800</v>
      </c>
      <c r="F5" s="24">
        <f>+D5*2.5/100</f>
        <v>-2312.5</v>
      </c>
      <c r="G5" s="24"/>
      <c r="H5" s="24"/>
      <c r="I5" s="24">
        <f>+D5+E5-F5</f>
        <v>-104987.5</v>
      </c>
      <c r="J5" s="158">
        <v>41652</v>
      </c>
      <c r="K5" s="158">
        <f>+J5+30</f>
        <v>41682</v>
      </c>
      <c r="L5" s="191"/>
      <c r="M5" s="95"/>
      <c r="N5" s="24">
        <f>+N3+I5</f>
        <v>1364837.5</v>
      </c>
      <c r="O5" s="95"/>
      <c r="P5" s="95"/>
      <c r="Q5" s="95" t="s">
        <v>1656</v>
      </c>
    </row>
    <row r="6" spans="1:17" x14ac:dyDescent="0.25">
      <c r="A6" s="95">
        <v>800212212</v>
      </c>
      <c r="B6" s="95" t="str">
        <f>IFERROR(VLOOKUP(A6,TERCEROS[],3,FALSE),"")</f>
        <v>LOS PANTALONEROS LTDA</v>
      </c>
      <c r="C6" s="187">
        <v>6</v>
      </c>
      <c r="D6" s="24">
        <f>130*12100</f>
        <v>1573000</v>
      </c>
      <c r="E6" s="24">
        <f>+D6*16/100</f>
        <v>251680</v>
      </c>
      <c r="F6" s="24">
        <f>+D6*2.5/100</f>
        <v>39325</v>
      </c>
      <c r="G6" s="24">
        <f>+E6*15/100</f>
        <v>37752</v>
      </c>
      <c r="H6" s="24">
        <f>+D6*11.01/1000</f>
        <v>17318.73</v>
      </c>
      <c r="I6" s="24">
        <f>+D6+E6-F6-G6-H6</f>
        <v>1730284.27</v>
      </c>
      <c r="J6" s="158">
        <v>41683</v>
      </c>
      <c r="K6" s="158">
        <f>+J6+30</f>
        <v>41713</v>
      </c>
      <c r="L6" s="95"/>
      <c r="M6" s="95"/>
      <c r="N6" s="24">
        <f>+I6</f>
        <v>1730284.27</v>
      </c>
      <c r="O6" s="24"/>
      <c r="P6" s="95"/>
      <c r="Q6" s="95"/>
    </row>
    <row r="7" spans="1:17" x14ac:dyDescent="0.25">
      <c r="A7" s="95">
        <v>999666777</v>
      </c>
      <c r="B7" s="95" t="str">
        <f>IFERROR(VLOOKUP(A7,TERCEROS[],3,FALSE),"")</f>
        <v>EL VESTIDOR S.A.S.</v>
      </c>
      <c r="C7" s="187">
        <v>2</v>
      </c>
      <c r="D7" s="24">
        <f>70*18500</f>
        <v>1295000</v>
      </c>
      <c r="E7" s="24">
        <f>+D7*0.16</f>
        <v>207200</v>
      </c>
      <c r="F7" s="24">
        <f>+D7*2.5/100</f>
        <v>32375</v>
      </c>
      <c r="G7" s="24"/>
      <c r="H7" s="24"/>
      <c r="I7" s="24">
        <f>+D7+E7-F7</f>
        <v>1469825</v>
      </c>
      <c r="J7" s="158">
        <v>41652</v>
      </c>
      <c r="K7" s="158">
        <f>+J7+30</f>
        <v>41682</v>
      </c>
      <c r="L7" s="192">
        <v>41670</v>
      </c>
      <c r="M7" s="24">
        <v>1364837.5</v>
      </c>
      <c r="N7" s="24">
        <v>0</v>
      </c>
      <c r="O7" s="95"/>
      <c r="P7" s="95"/>
      <c r="Q7" s="95" t="s">
        <v>1828</v>
      </c>
    </row>
    <row r="8" spans="1:17" x14ac:dyDescent="0.25">
      <c r="A8" s="99"/>
      <c r="B8" s="95" t="str">
        <f>IFERROR(VLOOKUP(A8,TERCEROS[],3,FALSE),"")</f>
        <v/>
      </c>
      <c r="C8" s="187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18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18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187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187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187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187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187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187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187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187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187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187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187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187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18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187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187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187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187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18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187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187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187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187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187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18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187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187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187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187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187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187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187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187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18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187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187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187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187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187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187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18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18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18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18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18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18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187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187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187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187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187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1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187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187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187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187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187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187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187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187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187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187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187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187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187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187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187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187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187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187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187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187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187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187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187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187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187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187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187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187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187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187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187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187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187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187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187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187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187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187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187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187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187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187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187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187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187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187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187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187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187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187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187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187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187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187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187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187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187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187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187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187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187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187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187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187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187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187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187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187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187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187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187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187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187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187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187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187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187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187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187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187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187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187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187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187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187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187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187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187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187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187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187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187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187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187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187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187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187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187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187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187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187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187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187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187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187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187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187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187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187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187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187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187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187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187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187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187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187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187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187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187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187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187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187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187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187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187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187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187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187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187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187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187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187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187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187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187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187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187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187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187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187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187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187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187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187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187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187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187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187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187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187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187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187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187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187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187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187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187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187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187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187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187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187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187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187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187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187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187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187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187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187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187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187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187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187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187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187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187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187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187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187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187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187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187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187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187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187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187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187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187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187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187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187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187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187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187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187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187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187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187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187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187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187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187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187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187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187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187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187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187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187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187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187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187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187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187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187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187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187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187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187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187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187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187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187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187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187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187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187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187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187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187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187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187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187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187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187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187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187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187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187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187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187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187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187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187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187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187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187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187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187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187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187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187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187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187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187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187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187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187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88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8" t="s">
        <v>1422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6">
        <v>41648</v>
      </c>
      <c r="M3" s="156">
        <f>+L3+15</f>
        <v>41663</v>
      </c>
      <c r="N3" s="107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1" t="s">
        <v>1618</v>
      </c>
      <c r="C4" s="111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6">
        <v>41649</v>
      </c>
      <c r="M4" s="156">
        <f>+L4+30</f>
        <v>41679</v>
      </c>
      <c r="N4" s="107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2" t="s">
        <v>1624</v>
      </c>
      <c r="C5" s="112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6">
        <v>41649</v>
      </c>
      <c r="M5" s="158">
        <f>+L5+30</f>
        <v>41679</v>
      </c>
      <c r="N5" s="158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2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1">
        <f>+F6-I6-J6-H6+G6</f>
        <v>941306.94</v>
      </c>
      <c r="L6" s="158">
        <v>41651</v>
      </c>
      <c r="M6" s="158">
        <f>+L6+30</f>
        <v>41681</v>
      </c>
      <c r="N6" s="158">
        <f>+L6</f>
        <v>41651</v>
      </c>
      <c r="O6" s="161">
        <f>+K6*30/100</f>
        <v>282392.08199999999</v>
      </c>
      <c r="P6" s="161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2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8">
        <v>41656</v>
      </c>
      <c r="M7" s="158">
        <f>+L7+30</f>
        <v>41686</v>
      </c>
      <c r="N7" s="158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1" t="s">
        <v>1618</v>
      </c>
      <c r="C8" s="111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6">
        <v>41649</v>
      </c>
      <c r="M8" s="156">
        <f>+L8+30</f>
        <v>41679</v>
      </c>
      <c r="N8" s="107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2" t="s">
        <v>1692</v>
      </c>
      <c r="C9" s="112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8">
        <v>41662</v>
      </c>
      <c r="M9" s="156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2" t="s">
        <v>1692</v>
      </c>
      <c r="C10" s="112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8"/>
      <c r="M10" s="156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6">
        <v>41648</v>
      </c>
      <c r="M11" s="156">
        <f>+L11+15</f>
        <v>41663</v>
      </c>
      <c r="N11" s="158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2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8">
        <v>41656</v>
      </c>
      <c r="M12" s="158">
        <f>+L12+30</f>
        <v>41686</v>
      </c>
      <c r="N12" s="158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2" t="s">
        <v>1692</v>
      </c>
      <c r="C13" s="112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8">
        <v>41662</v>
      </c>
      <c r="M13" s="156">
        <v>41721</v>
      </c>
      <c r="N13" s="158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2" t="s">
        <v>1692</v>
      </c>
      <c r="C14" s="112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8"/>
      <c r="M14" s="156">
        <v>41693</v>
      </c>
      <c r="N14" s="158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2"/>
      <c r="C15" s="112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2"/>
      <c r="C16" s="112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2"/>
      <c r="C17" s="112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2"/>
      <c r="C18" s="112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2"/>
      <c r="C19" s="112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2"/>
      <c r="C20" s="112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2"/>
      <c r="C21" s="112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2"/>
      <c r="C22" s="112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2"/>
      <c r="C23" s="112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2"/>
      <c r="C24" s="112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2"/>
      <c r="C25" s="112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2"/>
      <c r="C26" s="112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2"/>
      <c r="C27" s="112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2"/>
      <c r="C28" s="112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2"/>
      <c r="C29" s="112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2"/>
      <c r="C30" s="112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2"/>
      <c r="C31" s="112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2"/>
      <c r="C32" s="112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2"/>
      <c r="C33" s="112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2"/>
      <c r="C34" s="112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2"/>
      <c r="C35" s="112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2"/>
      <c r="C36" s="112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2"/>
      <c r="C37" s="112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2"/>
      <c r="C38" s="112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2"/>
      <c r="C39" s="112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2"/>
      <c r="C40" s="112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2"/>
      <c r="C41" s="112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2"/>
      <c r="C42" s="112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2"/>
      <c r="C43" s="112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2"/>
      <c r="C44" s="112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2"/>
      <c r="C45" s="112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2"/>
      <c r="C46" s="112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2"/>
      <c r="C47" s="112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2"/>
      <c r="C48" s="112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2"/>
      <c r="C49" s="112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2"/>
      <c r="C50" s="112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2"/>
      <c r="C51" s="112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2"/>
      <c r="C52" s="112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2"/>
      <c r="C53" s="112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2"/>
      <c r="C54" s="112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2"/>
      <c r="C55" s="112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2"/>
      <c r="C56" s="112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2"/>
      <c r="C57" s="112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2"/>
      <c r="C58" s="112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2"/>
      <c r="C59" s="112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2"/>
      <c r="C60" s="112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2"/>
      <c r="C61" s="112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2"/>
      <c r="C62" s="112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2"/>
      <c r="C63" s="112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2"/>
      <c r="C64" s="112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2"/>
      <c r="C65" s="112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2"/>
      <c r="C66" s="112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2"/>
      <c r="C67" s="112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2"/>
      <c r="C68" s="112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2"/>
      <c r="C69" s="112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2"/>
      <c r="C70" s="112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2"/>
      <c r="C71" s="112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2"/>
      <c r="C72" s="112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2"/>
      <c r="C73" s="112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2"/>
      <c r="C74" s="112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2"/>
      <c r="C75" s="112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2"/>
      <c r="C76" s="112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2"/>
      <c r="C77" s="112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2"/>
      <c r="C78" s="112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2"/>
      <c r="C79" s="112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2"/>
      <c r="C80" s="112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2"/>
      <c r="C81" s="112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2"/>
      <c r="C82" s="112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2"/>
      <c r="C83" s="112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2"/>
      <c r="C84" s="112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2"/>
      <c r="C85" s="112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2"/>
      <c r="C86" s="112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2"/>
      <c r="C87" s="112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2"/>
      <c r="C88" s="112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2"/>
      <c r="C89" s="112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2"/>
      <c r="C90" s="112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2"/>
      <c r="C91" s="112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2"/>
      <c r="C92" s="112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2"/>
      <c r="C93" s="112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2"/>
      <c r="C94" s="112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2"/>
      <c r="C95" s="112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2"/>
      <c r="C96" s="112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2"/>
      <c r="C97" s="112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2"/>
      <c r="C98" s="112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2"/>
      <c r="C99" s="112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2"/>
      <c r="C100" s="112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2"/>
      <c r="C101" s="112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2"/>
      <c r="C102" s="112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2"/>
      <c r="C103" s="112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2"/>
      <c r="C104" s="112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2"/>
      <c r="C105" s="112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2"/>
      <c r="C106" s="112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2"/>
      <c r="C107" s="112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2"/>
      <c r="C108" s="112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2"/>
      <c r="C109" s="112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2"/>
      <c r="C110" s="112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2"/>
      <c r="C111" s="112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2"/>
      <c r="C112" s="112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2"/>
      <c r="C113" s="112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2"/>
      <c r="C114" s="112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2"/>
      <c r="C115" s="112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2"/>
      <c r="C116" s="112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2"/>
      <c r="C117" s="112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2"/>
      <c r="C118" s="112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2"/>
      <c r="C119" s="112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2"/>
      <c r="C120" s="112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2"/>
      <c r="C121" s="112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2"/>
      <c r="C122" s="112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2"/>
      <c r="C123" s="112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2"/>
      <c r="C124" s="112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2"/>
      <c r="C125" s="112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2"/>
      <c r="C126" s="112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2"/>
      <c r="C127" s="112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2"/>
      <c r="C128" s="112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2"/>
      <c r="C129" s="112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2"/>
      <c r="C130" s="112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2"/>
      <c r="C131" s="112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2"/>
      <c r="C132" s="112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2"/>
      <c r="C133" s="112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2"/>
      <c r="C134" s="112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2"/>
      <c r="C135" s="112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2"/>
      <c r="C136" s="112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2"/>
      <c r="C137" s="112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2"/>
      <c r="C138" s="112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2"/>
      <c r="C139" s="112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2"/>
      <c r="C140" s="112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2"/>
      <c r="C141" s="112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2"/>
      <c r="C142" s="112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2"/>
      <c r="C143" s="112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2"/>
      <c r="C144" s="112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2"/>
      <c r="C145" s="112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2"/>
      <c r="C146" s="112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2"/>
      <c r="C147" s="112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2"/>
      <c r="C148" s="112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2"/>
      <c r="C149" s="112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2"/>
      <c r="C150" s="112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2"/>
      <c r="C151" s="112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2"/>
      <c r="C152" s="112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2"/>
      <c r="C153" s="112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2"/>
      <c r="C154" s="112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2"/>
      <c r="C155" s="112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2"/>
      <c r="C156" s="112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2"/>
      <c r="C157" s="112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2"/>
      <c r="C158" s="112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2"/>
      <c r="C159" s="112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2"/>
      <c r="C160" s="112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2"/>
      <c r="C161" s="112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2"/>
      <c r="C162" s="112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2"/>
      <c r="C163" s="112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2"/>
      <c r="C164" s="112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2"/>
      <c r="C165" s="112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2"/>
      <c r="C166" s="112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2"/>
      <c r="C167" s="112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2"/>
      <c r="C168" s="112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2"/>
      <c r="C169" s="112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2"/>
      <c r="C170" s="112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2"/>
      <c r="C171" s="112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2"/>
      <c r="C172" s="112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2"/>
      <c r="C173" s="112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2"/>
      <c r="C174" s="112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2"/>
      <c r="C175" s="112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2"/>
      <c r="C176" s="112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2"/>
      <c r="C177" s="112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2"/>
      <c r="C178" s="112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2"/>
      <c r="C179" s="112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2"/>
      <c r="C180" s="112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2"/>
      <c r="C181" s="112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2"/>
      <c r="C182" s="112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2"/>
      <c r="C183" s="112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2"/>
      <c r="C184" s="112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2"/>
      <c r="C185" s="112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2"/>
      <c r="C186" s="112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2"/>
      <c r="C187" s="112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2"/>
      <c r="C188" s="112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2"/>
      <c r="C189" s="112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2"/>
      <c r="C190" s="112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2"/>
      <c r="C191" s="112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2"/>
      <c r="C192" s="112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2"/>
      <c r="C193" s="112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2"/>
      <c r="C194" s="112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2"/>
      <c r="C195" s="112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2"/>
      <c r="C196" s="112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2"/>
      <c r="C197" s="112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2"/>
      <c r="C198" s="112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2"/>
      <c r="C199" s="112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2"/>
      <c r="C200" s="112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2"/>
      <c r="C201" s="112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2"/>
      <c r="C202" s="112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2"/>
      <c r="C203" s="112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2"/>
      <c r="C204" s="112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2"/>
      <c r="C205" s="112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2"/>
      <c r="C206" s="112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2"/>
      <c r="C207" s="112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2"/>
      <c r="C208" s="112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2"/>
      <c r="C209" s="112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2"/>
      <c r="C210" s="112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2"/>
      <c r="C211" s="112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2"/>
      <c r="C212" s="112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2"/>
      <c r="C213" s="112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2"/>
      <c r="C214" s="112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2"/>
      <c r="C215" s="112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2"/>
      <c r="C216" s="112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2"/>
      <c r="C217" s="112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2"/>
      <c r="C218" s="112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2"/>
      <c r="C219" s="112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2"/>
      <c r="C220" s="112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2"/>
      <c r="C221" s="112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2"/>
      <c r="C222" s="112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2"/>
      <c r="C223" s="112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2"/>
      <c r="C224" s="112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2"/>
      <c r="C225" s="112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2"/>
      <c r="C226" s="112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2"/>
      <c r="C227" s="112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2"/>
      <c r="C228" s="112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2"/>
      <c r="C229" s="112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2"/>
      <c r="C230" s="112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2"/>
      <c r="C231" s="112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2"/>
      <c r="C232" s="112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2"/>
      <c r="C233" s="112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2"/>
      <c r="C234" s="112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2"/>
      <c r="C235" s="112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2"/>
      <c r="C236" s="112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2"/>
      <c r="C237" s="112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2"/>
      <c r="C238" s="112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2"/>
      <c r="C239" s="112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2"/>
      <c r="C240" s="112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2"/>
      <c r="C241" s="112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2"/>
      <c r="C242" s="112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2"/>
      <c r="C243" s="112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2"/>
      <c r="C244" s="112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2"/>
      <c r="C245" s="112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2"/>
      <c r="C246" s="112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2"/>
      <c r="C247" s="112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2"/>
      <c r="C248" s="112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2"/>
      <c r="C249" s="112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2"/>
      <c r="C250" s="112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2"/>
      <c r="C251" s="112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2"/>
      <c r="C252" s="112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2"/>
      <c r="C253" s="112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2"/>
      <c r="C254" s="112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2"/>
      <c r="C255" s="112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2"/>
      <c r="C256" s="112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2"/>
      <c r="C257" s="112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2"/>
      <c r="C258" s="112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2"/>
      <c r="C259" s="112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2"/>
      <c r="C260" s="112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2"/>
      <c r="C261" s="112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2"/>
      <c r="C262" s="112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2"/>
      <c r="C263" s="112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2"/>
      <c r="C264" s="112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2"/>
      <c r="C265" s="112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2"/>
      <c r="C266" s="112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2"/>
      <c r="C267" s="112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2"/>
      <c r="C268" s="112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2"/>
      <c r="C269" s="112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2"/>
      <c r="C270" s="112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2"/>
      <c r="C271" s="112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2"/>
      <c r="C272" s="112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2"/>
      <c r="C273" s="112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2"/>
      <c r="C274" s="112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2"/>
      <c r="C275" s="112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2"/>
      <c r="C276" s="112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2"/>
      <c r="C277" s="112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2"/>
      <c r="C278" s="112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2"/>
      <c r="C279" s="112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2"/>
      <c r="C280" s="112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2"/>
      <c r="C281" s="112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2"/>
      <c r="C282" s="112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2"/>
      <c r="C283" s="112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2"/>
      <c r="C284" s="112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2"/>
      <c r="C285" s="112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2"/>
      <c r="C286" s="112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2"/>
      <c r="C287" s="112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2"/>
      <c r="C288" s="112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2"/>
      <c r="C289" s="112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2"/>
      <c r="C290" s="112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2"/>
      <c r="C291" s="112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2"/>
      <c r="C292" s="112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2"/>
      <c r="C293" s="112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2"/>
      <c r="C294" s="112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2"/>
      <c r="C295" s="112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2"/>
      <c r="C296" s="112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2"/>
      <c r="C297" s="112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2"/>
      <c r="C298" s="112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2"/>
      <c r="C299" s="112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2"/>
      <c r="C300" s="112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2"/>
      <c r="C301" s="112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2"/>
      <c r="C302" s="112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2"/>
      <c r="C303" s="112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2"/>
      <c r="C304" s="112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2"/>
      <c r="C305" s="112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2"/>
      <c r="C306" s="112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2"/>
      <c r="C307" s="112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2"/>
      <c r="C308" s="112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2"/>
      <c r="C309" s="112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2"/>
      <c r="C310" s="112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2"/>
      <c r="C311" s="112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2"/>
      <c r="C312" s="112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2"/>
      <c r="C313" s="112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2"/>
      <c r="C314" s="112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2"/>
      <c r="C315" s="112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2"/>
      <c r="C316" s="112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2"/>
      <c r="C317" s="112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2"/>
      <c r="C318" s="112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2"/>
      <c r="C319" s="112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2"/>
      <c r="C320" s="112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2"/>
      <c r="C321" s="112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3"/>
      <c r="C322" s="113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5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41" t="s">
        <v>1428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x14ac:dyDescent="0.25">
      <c r="A2" s="150" t="s">
        <v>0</v>
      </c>
      <c r="B2" s="151" t="s">
        <v>1382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6</v>
      </c>
      <c r="I2" s="152" t="s">
        <v>1374</v>
      </c>
      <c r="J2" s="152" t="s">
        <v>1375</v>
      </c>
      <c r="K2" s="153" t="s">
        <v>7</v>
      </c>
      <c r="L2" s="153" t="s">
        <v>8</v>
      </c>
      <c r="M2" s="152" t="s">
        <v>1403</v>
      </c>
      <c r="N2" s="154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43" t="s">
        <v>1547</v>
      </c>
      <c r="E1" s="244"/>
      <c r="F1" s="244"/>
      <c r="G1" s="244"/>
      <c r="H1" s="244"/>
      <c r="I1" s="244"/>
      <c r="J1" s="244"/>
      <c r="K1" s="244"/>
      <c r="L1" s="245"/>
    </row>
    <row r="2" spans="1:12" x14ac:dyDescent="0.25">
      <c r="D2" s="246"/>
      <c r="E2" s="247"/>
      <c r="F2" s="247"/>
      <c r="G2" s="247"/>
      <c r="H2" s="247"/>
      <c r="I2" s="247"/>
      <c r="J2" s="247"/>
      <c r="K2" s="247"/>
      <c r="L2" s="248"/>
    </row>
    <row r="3" spans="1:12" x14ac:dyDescent="0.25">
      <c r="D3" s="246"/>
      <c r="E3" s="247"/>
      <c r="F3" s="247"/>
      <c r="G3" s="247"/>
      <c r="H3" s="247"/>
      <c r="I3" s="247"/>
      <c r="J3" s="247"/>
      <c r="K3" s="247"/>
      <c r="L3" s="248"/>
    </row>
    <row r="4" spans="1:12" ht="15.75" thickBot="1" x14ac:dyDescent="0.3">
      <c r="D4" s="249"/>
      <c r="E4" s="250"/>
      <c r="F4" s="250"/>
      <c r="G4" s="250"/>
      <c r="H4" s="250"/>
      <c r="I4" s="250"/>
      <c r="J4" s="250"/>
      <c r="K4" s="250"/>
      <c r="L4" s="251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cp:lastPrinted>2014-05-17T18:59:31Z</cp:lastPrinted>
  <dcterms:created xsi:type="dcterms:W3CDTF">2013-01-19T16:11:19Z</dcterms:created>
  <dcterms:modified xsi:type="dcterms:W3CDTF">2014-07-25T00:25:48Z</dcterms:modified>
</cp:coreProperties>
</file>